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workbookProtection workbookPassword="A501" lockStructure="1"/>
  <bookViews>
    <workbookView xWindow="11865" yWindow="-15" windowWidth="11835" windowHeight="7800" tabRatio="913"/>
  </bookViews>
  <sheets>
    <sheet name="1" sheetId="5" r:id="rId1"/>
    <sheet name="2" sheetId="1" r:id="rId2"/>
    <sheet name="3" sheetId="2" r:id="rId3"/>
    <sheet name="4" sheetId="3" r:id="rId4"/>
    <sheet name="5" sheetId="4" r:id="rId5"/>
    <sheet name="6 PEF" sheetId="16" r:id="rId6"/>
    <sheet name="7" sheetId="8" r:id="rId7"/>
    <sheet name="Translation" sheetId="6" state="hidden" r:id="rId8"/>
    <sheet name="F+T Translation" sheetId="11" state="hidden" r:id="rId9"/>
    <sheet name="Parameters" sheetId="7" state="hidden" r:id="rId10"/>
    <sheet name="T-Calc option A" sheetId="9" state="hidden" r:id="rId11"/>
    <sheet name="F-Calc Mortgage loan" sheetId="15" state="hidden" r:id="rId12"/>
    <sheet name="F-Calc Cash flow" sheetId="14" state="hidden" r:id="rId13"/>
    <sheet name="F-Calc Subsidy" sheetId="18" state="hidden" r:id="rId14"/>
  </sheets>
  <definedNames>
    <definedName name="_xlnm.Print_Area" localSheetId="0">'1'!$A$1:$R$51</definedName>
    <definedName name="_xlnm.Print_Area" localSheetId="1">'2'!$A$1:$R$79</definedName>
    <definedName name="_xlnm.Print_Area" localSheetId="2">'3'!$A$1:$R$72</definedName>
    <definedName name="_xlnm.Print_Area" localSheetId="3">'4'!$A$1:$R$69</definedName>
    <definedName name="_xlnm.Print_Area" localSheetId="4">'5'!$A$1:$R$40</definedName>
    <definedName name="_xlnm.Print_Area" localSheetId="5">'6 PEF'!$A$1:$AF$47</definedName>
    <definedName name="_xlnm.Print_Area" localSheetId="6">'7'!$A$1:$R$44</definedName>
  </definedNames>
  <calcPr calcId="145621"/>
</workbook>
</file>

<file path=xl/calcChain.xml><?xml version="1.0" encoding="utf-8"?>
<calcChain xmlns="http://schemas.openxmlformats.org/spreadsheetml/2006/main">
  <c r="U17" i="9" l="1"/>
  <c r="V17" i="9"/>
  <c r="X17" i="9" l="1"/>
  <c r="W17" i="9"/>
  <c r="C103" i="11" l="1"/>
  <c r="C104" i="11"/>
  <c r="C105" i="11"/>
  <c r="C106" i="11"/>
  <c r="C107" i="11"/>
  <c r="C108" i="11"/>
  <c r="C109" i="11"/>
  <c r="C110" i="11"/>
  <c r="C111" i="11"/>
  <c r="C112" i="11"/>
  <c r="C113" i="11"/>
  <c r="C114" i="11"/>
  <c r="C115" i="11"/>
  <c r="H89" i="9" l="1"/>
  <c r="F91" i="9"/>
  <c r="F92" i="9"/>
  <c r="F93" i="9"/>
  <c r="F90" i="9"/>
  <c r="F147" i="1"/>
  <c r="F148" i="1"/>
  <c r="F149" i="1"/>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L83" i="9" l="1"/>
  <c r="M83" i="9"/>
  <c r="L62" i="1"/>
  <c r="F84" i="9" s="1"/>
  <c r="L60" i="1"/>
  <c r="F83" i="9" s="1"/>
  <c r="L58" i="1"/>
  <c r="F82" i="9" s="1"/>
  <c r="G77" i="9"/>
  <c r="F77" i="9"/>
  <c r="M78" i="9" s="1"/>
  <c r="G76" i="9"/>
  <c r="F76" i="9"/>
  <c r="M77" i="9" s="1"/>
  <c r="C77" i="9"/>
  <c r="B77" i="9"/>
  <c r="C76" i="9"/>
  <c r="B76" i="9"/>
  <c r="G75" i="9"/>
  <c r="F75" i="9"/>
  <c r="G84" i="9"/>
  <c r="G83" i="9"/>
  <c r="G82" i="9"/>
  <c r="K83" i="1" l="1"/>
  <c r="M83" i="1" s="1"/>
  <c r="K85" i="1"/>
  <c r="M85" i="1" s="1"/>
  <c r="K84" i="1"/>
  <c r="M84" i="1" s="1"/>
  <c r="G85" i="9"/>
  <c r="M76" i="9"/>
  <c r="J153" i="1"/>
  <c r="J154" i="1"/>
  <c r="J155" i="1"/>
  <c r="J157" i="1"/>
  <c r="J158" i="1"/>
  <c r="J159" i="1"/>
  <c r="J160" i="1"/>
  <c r="J161" i="1"/>
  <c r="J162" i="1"/>
  <c r="J163" i="1"/>
  <c r="J164" i="1"/>
  <c r="J165" i="1"/>
  <c r="J166" i="1"/>
  <c r="J152" i="1"/>
  <c r="D60" i="6"/>
  <c r="D61" i="6"/>
  <c r="D62" i="6"/>
  <c r="D63" i="6"/>
  <c r="D64" i="6"/>
  <c r="D65" i="6"/>
  <c r="F171" i="1"/>
  <c r="F170" i="1"/>
  <c r="F169" i="1"/>
  <c r="F166" i="1"/>
  <c r="F165" i="1"/>
  <c r="F164" i="1"/>
  <c r="F163" i="1"/>
  <c r="F162" i="1"/>
  <c r="F161" i="1"/>
  <c r="F160" i="1"/>
  <c r="F159" i="1"/>
  <c r="F158" i="1"/>
  <c r="F157" i="1"/>
  <c r="F156" i="1"/>
  <c r="F155" i="1"/>
  <c r="F154" i="1"/>
  <c r="F153" i="1"/>
  <c r="F152" i="1"/>
  <c r="N85" i="1"/>
  <c r="N84" i="1"/>
  <c r="N83" i="1"/>
  <c r="L85" i="1"/>
  <c r="L84" i="1"/>
  <c r="L83" i="1"/>
  <c r="J83" i="1" l="1"/>
  <c r="O64" i="1" s="1"/>
  <c r="J84" i="1"/>
  <c r="J85" i="1"/>
  <c r="G2" i="11" l="1"/>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H89" i="1" l="1"/>
  <c r="H88" i="1"/>
  <c r="H87" i="1"/>
  <c r="F89" i="1"/>
  <c r="F88" i="1"/>
  <c r="F87" i="1"/>
  <c r="G89" i="1"/>
  <c r="G88" i="1"/>
  <c r="G87" i="1"/>
  <c r="E89" i="1"/>
  <c r="E88" i="1"/>
  <c r="E87" i="1"/>
  <c r="E84" i="1"/>
  <c r="E85" i="1"/>
  <c r="E83" i="1"/>
  <c r="H85" i="1"/>
  <c r="H84" i="1"/>
  <c r="H83" i="1"/>
  <c r="G85" i="1"/>
  <c r="G84" i="1"/>
  <c r="G83" i="1"/>
  <c r="F85" i="1"/>
  <c r="F84" i="1"/>
  <c r="F83" i="1"/>
  <c r="H99" i="9"/>
  <c r="E99" i="9"/>
  <c r="P42" i="3"/>
  <c r="G57" i="5"/>
  <c r="D57" i="5" s="1"/>
  <c r="G58" i="5"/>
  <c r="D58" i="5" s="1"/>
  <c r="G59" i="5"/>
  <c r="D59" i="5" s="1"/>
  <c r="G60" i="5"/>
  <c r="D60" i="5" s="1"/>
  <c r="G61" i="5"/>
  <c r="D61" i="5" s="1"/>
  <c r="G62" i="5"/>
  <c r="D62" i="5" s="1"/>
  <c r="G63" i="5"/>
  <c r="D63" i="5" s="1"/>
  <c r="G56" i="5"/>
  <c r="D56" i="5" s="1"/>
  <c r="E2" i="11"/>
  <c r="F2" i="11"/>
  <c r="H2" i="11"/>
  <c r="I2" i="11"/>
  <c r="J2" i="11"/>
  <c r="K2" i="11"/>
  <c r="D2" i="11"/>
  <c r="C13" i="15"/>
  <c r="D84" i="1" l="1"/>
  <c r="D85" i="1"/>
  <c r="D83" i="1"/>
  <c r="D87" i="1"/>
  <c r="D88" i="1"/>
  <c r="D89" i="1"/>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K16" i="4"/>
  <c r="J75" i="3"/>
  <c r="H75" i="3"/>
  <c r="F75" i="3"/>
  <c r="Z5" i="18"/>
  <c r="J5" i="18" s="1"/>
  <c r="O77" i="1" l="1"/>
  <c r="Y5" i="18"/>
  <c r="U5" i="18"/>
  <c r="Q5" i="18"/>
  <c r="M5" i="18"/>
  <c r="I5" i="18"/>
  <c r="X5" i="18"/>
  <c r="T5" i="18"/>
  <c r="P5" i="18"/>
  <c r="L5" i="18"/>
  <c r="H5" i="18"/>
  <c r="W5" i="18"/>
  <c r="S5" i="18"/>
  <c r="O5" i="18"/>
  <c r="K5" i="18"/>
  <c r="G5" i="18"/>
  <c r="V5" i="18"/>
  <c r="R5" i="18"/>
  <c r="N5" i="18"/>
  <c r="D42" i="15"/>
  <c r="D41" i="15"/>
  <c r="F39" i="15"/>
  <c r="G39" i="15"/>
  <c r="H39" i="15"/>
  <c r="I39" i="15"/>
  <c r="J39" i="15"/>
  <c r="K39" i="15"/>
  <c r="L39" i="15"/>
  <c r="M39" i="15"/>
  <c r="N39" i="15"/>
  <c r="O39" i="15"/>
  <c r="P39" i="15"/>
  <c r="Q39" i="15"/>
  <c r="R39" i="15"/>
  <c r="S39" i="15"/>
  <c r="T39" i="15"/>
  <c r="U39" i="15"/>
  <c r="V39" i="15"/>
  <c r="W39" i="15"/>
  <c r="X39" i="15"/>
  <c r="E39" i="15"/>
  <c r="J103" i="7" l="1"/>
  <c r="J118" i="7" s="1"/>
  <c r="K103" i="7"/>
  <c r="K118" i="7" s="1"/>
  <c r="L103" i="7"/>
  <c r="L118" i="7" s="1"/>
  <c r="M103" i="7"/>
  <c r="M118" i="7" s="1"/>
  <c r="N103" i="7"/>
  <c r="N118" i="7" s="1"/>
  <c r="O103" i="7"/>
  <c r="O118" i="7" s="1"/>
  <c r="P103" i="7"/>
  <c r="P118" i="7" s="1"/>
  <c r="Q103" i="7"/>
  <c r="Q118" i="7" s="1"/>
  <c r="R103" i="7"/>
  <c r="R118" i="7" s="1"/>
  <c r="S103" i="7"/>
  <c r="S118" i="7" s="1"/>
  <c r="T103" i="7"/>
  <c r="T118" i="7" s="1"/>
  <c r="U103" i="7"/>
  <c r="U118" i="7" s="1"/>
  <c r="V103" i="7"/>
  <c r="V118" i="7" s="1"/>
  <c r="W103" i="7"/>
  <c r="W118" i="7" s="1"/>
  <c r="X103" i="7"/>
  <c r="X118" i="7" s="1"/>
  <c r="Y103" i="7"/>
  <c r="Y118" i="7" s="1"/>
  <c r="Z103" i="7"/>
  <c r="Z118" i="7" s="1"/>
  <c r="AA103" i="7"/>
  <c r="AA118" i="7" s="1"/>
  <c r="AB103" i="7"/>
  <c r="AB118" i="7" s="1"/>
  <c r="I103" i="7"/>
  <c r="I118" i="7" s="1"/>
  <c r="J99" i="7" l="1"/>
  <c r="J100" i="7" s="1"/>
  <c r="H44" i="4" l="1"/>
  <c r="J44" i="4" s="1"/>
  <c r="U28" i="16" s="1"/>
  <c r="H45" i="4"/>
  <c r="J68" i="2"/>
  <c r="M68" i="2" s="1"/>
  <c r="J69" i="2"/>
  <c r="M69" i="2" s="1"/>
  <c r="J70" i="2"/>
  <c r="M70" i="2" s="1"/>
  <c r="I68" i="2"/>
  <c r="I69" i="2"/>
  <c r="I70" i="2"/>
  <c r="K28" i="16" l="1"/>
  <c r="AB28" i="16"/>
  <c r="X28" i="16"/>
  <c r="T28" i="16"/>
  <c r="P28" i="16"/>
  <c r="L28" i="16"/>
  <c r="J28" i="16"/>
  <c r="AA28" i="16"/>
  <c r="S28" i="16"/>
  <c r="AD28" i="16"/>
  <c r="Z28" i="16"/>
  <c r="V28" i="16"/>
  <c r="R28" i="16"/>
  <c r="N28" i="16"/>
  <c r="AC28" i="16"/>
  <c r="Y28" i="16"/>
  <c r="Q28" i="16"/>
  <c r="M28" i="16"/>
  <c r="W28" i="16"/>
  <c r="O28" i="16"/>
  <c r="J45" i="4"/>
  <c r="C14" i="15" s="1"/>
  <c r="E13" i="15" s="1"/>
  <c r="Q6" i="16" l="1"/>
  <c r="Q10" i="16" s="1"/>
  <c r="N6" i="16"/>
  <c r="N10" i="16" s="1"/>
  <c r="AD6" i="16"/>
  <c r="AD20" i="16" s="1"/>
  <c r="L6" i="16"/>
  <c r="L10" i="16" s="1"/>
  <c r="AB6" i="16"/>
  <c r="AB18" i="16" s="1"/>
  <c r="O6" i="16"/>
  <c r="O10" i="16" s="1"/>
  <c r="U6" i="16"/>
  <c r="U18" i="16" s="1"/>
  <c r="R6" i="16"/>
  <c r="R10" i="16" s="1"/>
  <c r="S6" i="16"/>
  <c r="S20" i="16" s="1"/>
  <c r="P6" i="16"/>
  <c r="P10" i="16" s="1"/>
  <c r="W6" i="16"/>
  <c r="W20" i="16" s="1"/>
  <c r="Y6" i="16"/>
  <c r="Y18" i="16" s="1"/>
  <c r="V6" i="16"/>
  <c r="AA6" i="16"/>
  <c r="AA10" i="16" s="1"/>
  <c r="T6" i="16"/>
  <c r="T18" i="16" s="1"/>
  <c r="M6" i="16"/>
  <c r="M18" i="16" s="1"/>
  <c r="AC6" i="16"/>
  <c r="AC18" i="16" s="1"/>
  <c r="Z6" i="16"/>
  <c r="Z10" i="16" s="1"/>
  <c r="X6" i="16"/>
  <c r="X18" i="16" s="1"/>
  <c r="K6" i="16"/>
  <c r="S18" i="16"/>
  <c r="AA18" i="16" l="1"/>
  <c r="L13" i="16"/>
  <c r="L14" i="16" s="1"/>
  <c r="L18" i="16"/>
  <c r="X2" i="18"/>
  <c r="Q18" i="16"/>
  <c r="AC13" i="16"/>
  <c r="AC14" i="16" s="1"/>
  <c r="Q20" i="16"/>
  <c r="W18" i="16"/>
  <c r="R18" i="16"/>
  <c r="M10" i="16"/>
  <c r="N2" i="18"/>
  <c r="L20" i="16"/>
  <c r="Z18" i="16"/>
  <c r="V2" i="18"/>
  <c r="AA20" i="16"/>
  <c r="P20" i="16"/>
  <c r="AB10" i="16"/>
  <c r="Z13" i="16"/>
  <c r="Z14" i="16" s="1"/>
  <c r="AA13" i="16"/>
  <c r="AA14" i="16" s="1"/>
  <c r="R20" i="16"/>
  <c r="AB13" i="16"/>
  <c r="AB14" i="16" s="1"/>
  <c r="Z20" i="16"/>
  <c r="Y10" i="16"/>
  <c r="O13" i="16"/>
  <c r="O14" i="16" s="1"/>
  <c r="X10" i="16"/>
  <c r="T13" i="16"/>
  <c r="T14" i="16" s="1"/>
  <c r="V13" i="16"/>
  <c r="V14" i="16" s="1"/>
  <c r="W13" i="16"/>
  <c r="W14" i="16" s="1"/>
  <c r="AD13" i="16"/>
  <c r="AD14" i="16" s="1"/>
  <c r="T2" i="18"/>
  <c r="Y2" i="18"/>
  <c r="R13" i="16"/>
  <c r="R14" i="16" s="1"/>
  <c r="AB20" i="16"/>
  <c r="AD10" i="16"/>
  <c r="X13" i="16"/>
  <c r="X14" i="16" s="1"/>
  <c r="T10" i="16"/>
  <c r="S10" i="16"/>
  <c r="U10" i="16"/>
  <c r="K20" i="16"/>
  <c r="K10" i="16"/>
  <c r="X20" i="16"/>
  <c r="AC10" i="16"/>
  <c r="T20" i="16"/>
  <c r="V20" i="16"/>
  <c r="W10" i="16"/>
  <c r="S13" i="16"/>
  <c r="S14" i="16" s="1"/>
  <c r="U13" i="16"/>
  <c r="U14" i="16" s="1"/>
  <c r="N13" i="16"/>
  <c r="N14" i="16" s="1"/>
  <c r="J2" i="18"/>
  <c r="P13" i="16"/>
  <c r="P14" i="16" s="1"/>
  <c r="O18" i="16"/>
  <c r="N20" i="16"/>
  <c r="Q13" i="16"/>
  <c r="Q14" i="16" s="1"/>
  <c r="M13" i="16"/>
  <c r="M14" i="16" s="1"/>
  <c r="Y13" i="16"/>
  <c r="Y14" i="16" s="1"/>
  <c r="I2" i="18"/>
  <c r="R2" i="18"/>
  <c r="P18" i="16"/>
  <c r="O20" i="16"/>
  <c r="AD18" i="16"/>
  <c r="N18" i="16"/>
  <c r="AC20" i="16"/>
  <c r="M20" i="16"/>
  <c r="V18" i="16"/>
  <c r="Y20" i="16"/>
  <c r="U20" i="16"/>
  <c r="Z2" i="18"/>
  <c r="Z11" i="18" s="1"/>
  <c r="V10" i="16"/>
  <c r="K14" i="16"/>
  <c r="G2" i="18"/>
  <c r="K18" i="16"/>
  <c r="O2" i="18"/>
  <c r="W2" i="18"/>
  <c r="L2" i="18"/>
  <c r="K2" i="18"/>
  <c r="H2" i="18"/>
  <c r="P2" i="18"/>
  <c r="S2" i="18"/>
  <c r="Q2" i="18"/>
  <c r="M2" i="18"/>
  <c r="U2" i="18"/>
  <c r="Y10" i="18" l="1"/>
  <c r="J11" i="18"/>
  <c r="Y11" i="18"/>
  <c r="Z10" i="18"/>
  <c r="J10" i="18"/>
  <c r="V10" i="18"/>
  <c r="X11" i="18"/>
  <c r="N11" i="18"/>
  <c r="I10" i="18"/>
  <c r="R10" i="18"/>
  <c r="T10" i="18"/>
  <c r="X10" i="18"/>
  <c r="N10" i="18"/>
  <c r="R11" i="18"/>
  <c r="T11" i="18"/>
  <c r="I11" i="18"/>
  <c r="K10" i="18"/>
  <c r="K11" i="18"/>
  <c r="W10" i="18"/>
  <c r="W11" i="18"/>
  <c r="O11" i="18"/>
  <c r="O10" i="18"/>
  <c r="Q10" i="18"/>
  <c r="Q11" i="18"/>
  <c r="P11" i="18"/>
  <c r="P10" i="18"/>
  <c r="M10" i="18"/>
  <c r="M11" i="18"/>
  <c r="S11" i="18"/>
  <c r="S10" i="18"/>
  <c r="U10" i="18"/>
  <c r="U11" i="18"/>
  <c r="H10" i="18"/>
  <c r="H11" i="18"/>
  <c r="L11" i="18"/>
  <c r="L10" i="18"/>
  <c r="V11" i="18"/>
  <c r="AD2" i="16" l="1"/>
  <c r="X2" i="16"/>
  <c r="J54" i="16" l="1"/>
  <c r="N54" i="16" l="1"/>
  <c r="R54" i="16"/>
  <c r="L40" i="15" s="1"/>
  <c r="V54" i="16"/>
  <c r="Z54" i="16"/>
  <c r="AD54" i="16"/>
  <c r="O54" i="16"/>
  <c r="I40" i="15" s="1"/>
  <c r="S54" i="16"/>
  <c r="W54" i="16"/>
  <c r="Q40" i="15" s="1"/>
  <c r="AA54" i="16"/>
  <c r="U40" i="15" s="1"/>
  <c r="L54" i="16"/>
  <c r="F40" i="15" s="1"/>
  <c r="P54" i="16"/>
  <c r="T54" i="16"/>
  <c r="N40" i="15" s="1"/>
  <c r="X54" i="16"/>
  <c r="AB54" i="16"/>
  <c r="V40" i="15" s="1"/>
  <c r="M54" i="16"/>
  <c r="Q54" i="16"/>
  <c r="K40" i="15" s="1"/>
  <c r="U54" i="16"/>
  <c r="Y54" i="16"/>
  <c r="S40" i="15" s="1"/>
  <c r="AC54" i="16"/>
  <c r="J29" i="16"/>
  <c r="K54" i="16"/>
  <c r="E40" i="15" s="1"/>
  <c r="E14" i="15"/>
  <c r="X104" i="7" l="1"/>
  <c r="X119" i="7" s="1"/>
  <c r="T40" i="15"/>
  <c r="AA104" i="7"/>
  <c r="AA119" i="7" s="1"/>
  <c r="W40" i="15"/>
  <c r="N104" i="7"/>
  <c r="N119" i="7" s="1"/>
  <c r="J40" i="15"/>
  <c r="Q104" i="7"/>
  <c r="Q119" i="7" s="1"/>
  <c r="M40" i="15"/>
  <c r="T104" i="7"/>
  <c r="T119" i="7" s="1"/>
  <c r="P40" i="15"/>
  <c r="K104" i="7"/>
  <c r="K119" i="7" s="1"/>
  <c r="G40" i="15"/>
  <c r="S104" i="7"/>
  <c r="S119" i="7" s="1"/>
  <c r="O40" i="15"/>
  <c r="V104" i="7"/>
  <c r="V119" i="7" s="1"/>
  <c r="R40" i="15"/>
  <c r="AB104" i="7"/>
  <c r="AB119" i="7" s="1"/>
  <c r="X40" i="15"/>
  <c r="L104" i="7"/>
  <c r="L119" i="7" s="1"/>
  <c r="H40" i="15"/>
  <c r="V7" i="16"/>
  <c r="AD7" i="16"/>
  <c r="Z3" i="18" s="1"/>
  <c r="Z7" i="16"/>
  <c r="V3" i="18" s="1"/>
  <c r="N7" i="16"/>
  <c r="J3" i="18" s="1"/>
  <c r="AC7" i="16"/>
  <c r="Y3" i="18" s="1"/>
  <c r="P7" i="16"/>
  <c r="L3" i="18" s="1"/>
  <c r="U7" i="16"/>
  <c r="Q3" i="18" s="1"/>
  <c r="X7" i="16"/>
  <c r="T3" i="18" s="1"/>
  <c r="S7" i="16"/>
  <c r="O3" i="18" s="1"/>
  <c r="M7" i="16"/>
  <c r="I3" i="18" s="1"/>
  <c r="Q7" i="16"/>
  <c r="M3" i="18" s="1"/>
  <c r="O104" i="7"/>
  <c r="O119" i="7" s="1"/>
  <c r="T7" i="16"/>
  <c r="P3" i="18" s="1"/>
  <c r="R104" i="7"/>
  <c r="R119" i="7" s="1"/>
  <c r="W7" i="16"/>
  <c r="S3" i="18" s="1"/>
  <c r="U104" i="7"/>
  <c r="U119" i="7" s="1"/>
  <c r="Y7" i="16"/>
  <c r="U3" i="18" s="1"/>
  <c r="W104" i="7"/>
  <c r="W119" i="7" s="1"/>
  <c r="AB7" i="16"/>
  <c r="X3" i="18" s="1"/>
  <c r="Z104" i="7"/>
  <c r="Z119" i="7" s="1"/>
  <c r="L7" i="16"/>
  <c r="H3" i="18" s="1"/>
  <c r="J104" i="7"/>
  <c r="J119" i="7" s="1"/>
  <c r="O7" i="16"/>
  <c r="K3" i="18" s="1"/>
  <c r="M104" i="7"/>
  <c r="M119" i="7" s="1"/>
  <c r="R7" i="16"/>
  <c r="N3" i="18" s="1"/>
  <c r="P104" i="7"/>
  <c r="P119" i="7" s="1"/>
  <c r="AA7" i="16"/>
  <c r="W3" i="18" s="1"/>
  <c r="Y104" i="7"/>
  <c r="Y119" i="7" s="1"/>
  <c r="K7" i="16"/>
  <c r="G3" i="18" s="1"/>
  <c r="I104" i="7"/>
  <c r="I119" i="7" s="1"/>
  <c r="AC29" i="16"/>
  <c r="E100" i="14" s="1"/>
  <c r="P29" i="16"/>
  <c r="E87" i="14" s="1"/>
  <c r="R3" i="18"/>
  <c r="V29" i="16"/>
  <c r="E93" i="14" s="1"/>
  <c r="AB29" i="16"/>
  <c r="E99" i="14" s="1"/>
  <c r="L29" i="16"/>
  <c r="O29" i="16"/>
  <c r="E86" i="14" s="1"/>
  <c r="R29" i="16"/>
  <c r="E89" i="14" s="1"/>
  <c r="M29" i="16"/>
  <c r="E84" i="14" s="1"/>
  <c r="S29" i="16"/>
  <c r="E90" i="14" s="1"/>
  <c r="Y29" i="16"/>
  <c r="E96" i="14" s="1"/>
  <c r="U29" i="16"/>
  <c r="E92" i="14" s="1"/>
  <c r="X29" i="16"/>
  <c r="E95" i="14" s="1"/>
  <c r="AA29" i="16"/>
  <c r="E98" i="14" s="1"/>
  <c r="AD29" i="16"/>
  <c r="E101" i="14" s="1"/>
  <c r="N29" i="16"/>
  <c r="E85" i="14" s="1"/>
  <c r="Q29" i="16"/>
  <c r="E88" i="14" s="1"/>
  <c r="T29" i="16"/>
  <c r="E91" i="14" s="1"/>
  <c r="W29" i="16"/>
  <c r="E94" i="14" s="1"/>
  <c r="Z29" i="16"/>
  <c r="E97" i="14" s="1"/>
  <c r="K29" i="16"/>
  <c r="E82" i="14" s="1"/>
  <c r="I75" i="3"/>
  <c r="G75" i="3"/>
  <c r="E83" i="14" l="1"/>
  <c r="E2" i="15"/>
  <c r="B18" i="15"/>
  <c r="B19" i="15" s="1"/>
  <c r="B20" i="15" s="1"/>
  <c r="B21" i="15" s="1"/>
  <c r="B22" i="15" s="1"/>
  <c r="B23" i="15" s="1"/>
  <c r="B24" i="15" s="1"/>
  <c r="B25" i="15" s="1"/>
  <c r="B26" i="15" s="1"/>
  <c r="B27" i="15" s="1"/>
  <c r="B28" i="15" s="1"/>
  <c r="B29" i="15" s="1"/>
  <c r="B30" i="15" s="1"/>
  <c r="B31" i="15" s="1"/>
  <c r="B32" i="15" s="1"/>
  <c r="B33" i="15" s="1"/>
  <c r="B34" i="15" s="1"/>
  <c r="B35" i="15" s="1"/>
  <c r="B36" i="15" s="1"/>
  <c r="B37" i="15" s="1"/>
  <c r="J74" i="14"/>
  <c r="J67" i="14"/>
  <c r="J58" i="14"/>
  <c r="J55" i="14"/>
  <c r="J52" i="14"/>
  <c r="J48" i="14"/>
  <c r="J35" i="14"/>
  <c r="D31" i="14"/>
  <c r="D33" i="14" s="1"/>
  <c r="J30" i="16" s="1"/>
  <c r="J19" i="14"/>
  <c r="J16" i="14"/>
  <c r="J78" i="14" l="1"/>
  <c r="J60" i="14"/>
  <c r="J67" i="3"/>
  <c r="J65" i="3"/>
  <c r="G82" i="14" l="1"/>
  <c r="G87" i="14"/>
  <c r="O31" i="16" s="1"/>
  <c r="G91" i="14"/>
  <c r="T31" i="16" s="1"/>
  <c r="G95" i="14"/>
  <c r="G99" i="14"/>
  <c r="G84" i="14"/>
  <c r="G88" i="14"/>
  <c r="G92" i="14"/>
  <c r="U31" i="16" s="1"/>
  <c r="G96" i="14"/>
  <c r="G100" i="14"/>
  <c r="G85" i="14"/>
  <c r="G89" i="14"/>
  <c r="R31" i="16" s="1"/>
  <c r="G93" i="14"/>
  <c r="G97" i="14"/>
  <c r="G101" i="14"/>
  <c r="G86" i="14"/>
  <c r="G90" i="14"/>
  <c r="S31" i="16" s="1"/>
  <c r="G94" i="14"/>
  <c r="G98" i="14"/>
  <c r="G83" i="14"/>
  <c r="C51" i="3"/>
  <c r="L99" i="9" s="1"/>
  <c r="C49" i="3"/>
  <c r="O42" i="2"/>
  <c r="E4" i="15" s="1"/>
  <c r="O40" i="2"/>
  <c r="E3" i="15" s="1"/>
  <c r="P91" i="9" l="1"/>
  <c r="K15" i="16"/>
  <c r="D49" i="14"/>
  <c r="O44" i="2"/>
  <c r="E5" i="15" s="1"/>
  <c r="W35" i="7"/>
  <c r="W36" i="7" s="1"/>
  <c r="W37" i="7" s="1"/>
  <c r="W38" i="7" s="1"/>
  <c r="W39" i="7" s="1"/>
  <c r="W40" i="7" s="1"/>
  <c r="W41" i="7" s="1"/>
  <c r="W42" i="7" s="1"/>
  <c r="W43" i="7" s="1"/>
  <c r="W44" i="7" s="1"/>
  <c r="W45" i="7" s="1"/>
  <c r="C109" i="1"/>
  <c r="C110" i="1"/>
  <c r="C111" i="1"/>
  <c r="C112" i="1"/>
  <c r="C113" i="1"/>
  <c r="C114" i="1"/>
  <c r="C115" i="1"/>
  <c r="C116" i="1"/>
  <c r="C117" i="1"/>
  <c r="C118" i="1"/>
  <c r="C119" i="1"/>
  <c r="C120" i="1"/>
  <c r="C121" i="1"/>
  <c r="C108" i="1"/>
  <c r="C55" i="14" l="1"/>
  <c r="D70" i="14" s="1"/>
  <c r="D72" i="14" s="1"/>
  <c r="K16" i="16"/>
  <c r="L15" i="16"/>
  <c r="W46" i="7"/>
  <c r="W47" i="7" s="1"/>
  <c r="I99" i="9"/>
  <c r="F99" i="9"/>
  <c r="G136" i="1"/>
  <c r="G164" i="1" s="1"/>
  <c r="G137" i="1"/>
  <c r="G165" i="1" s="1"/>
  <c r="G138" i="1"/>
  <c r="G166" i="1" s="1"/>
  <c r="J125" i="1"/>
  <c r="J126" i="1"/>
  <c r="J127" i="1"/>
  <c r="J129" i="1"/>
  <c r="J130" i="1"/>
  <c r="J131" i="1"/>
  <c r="J132" i="1"/>
  <c r="J133" i="1"/>
  <c r="J134" i="1"/>
  <c r="J135" i="1"/>
  <c r="J136" i="1"/>
  <c r="J137" i="1"/>
  <c r="J138" i="1"/>
  <c r="J124" i="1"/>
  <c r="B92" i="9"/>
  <c r="C92" i="9"/>
  <c r="B93" i="9"/>
  <c r="C93" i="9"/>
  <c r="C91" i="9"/>
  <c r="B91" i="9"/>
  <c r="B83" i="9"/>
  <c r="B84" i="9"/>
  <c r="B82" i="9"/>
  <c r="C83" i="9"/>
  <c r="C84" i="9"/>
  <c r="C82" i="9"/>
  <c r="C94" i="9" l="1"/>
  <c r="B99" i="9" s="1"/>
  <c r="C85" i="9"/>
  <c r="M15" i="16"/>
  <c r="L16" i="16"/>
  <c r="O103" i="9"/>
  <c r="N15" i="16" l="1"/>
  <c r="M16" i="16"/>
  <c r="F146" i="1"/>
  <c r="F105" i="2"/>
  <c r="F102" i="2"/>
  <c r="F103" i="2"/>
  <c r="F104" i="2"/>
  <c r="F106" i="2"/>
  <c r="O15" i="16" l="1"/>
  <c r="N16" i="16"/>
  <c r="C75" i="9"/>
  <c r="B75" i="9"/>
  <c r="L77" i="9"/>
  <c r="K14" i="7"/>
  <c r="C136" i="1"/>
  <c r="C164" i="1" s="1"/>
  <c r="C137" i="1"/>
  <c r="C165" i="1" s="1"/>
  <c r="C138" i="1"/>
  <c r="C166" i="1" s="1"/>
  <c r="H161" i="1" l="1"/>
  <c r="L161" i="1"/>
  <c r="P15" i="16"/>
  <c r="O16" i="16"/>
  <c r="L78" i="9"/>
  <c r="F93" i="1"/>
  <c r="F94" i="1"/>
  <c r="F95" i="1"/>
  <c r="F96" i="1"/>
  <c r="F97" i="1"/>
  <c r="F92" i="1"/>
  <c r="F101" i="1"/>
  <c r="F102" i="1"/>
  <c r="F103" i="1"/>
  <c r="F104" i="1"/>
  <c r="F105" i="1"/>
  <c r="F100" i="1"/>
  <c r="F109" i="1"/>
  <c r="F110" i="1"/>
  <c r="F111" i="1"/>
  <c r="F112" i="1"/>
  <c r="F113" i="1"/>
  <c r="F114" i="1"/>
  <c r="F115" i="1"/>
  <c r="F116" i="1"/>
  <c r="F117" i="1"/>
  <c r="F118" i="1"/>
  <c r="F119" i="1"/>
  <c r="F120" i="1"/>
  <c r="F121" i="1"/>
  <c r="F108" i="1"/>
  <c r="F142" i="1"/>
  <c r="F143" i="1"/>
  <c r="F141" i="1"/>
  <c r="F125" i="1"/>
  <c r="F126" i="1"/>
  <c r="F127" i="1"/>
  <c r="F128" i="1"/>
  <c r="F129" i="1"/>
  <c r="F130" i="1"/>
  <c r="F131" i="1"/>
  <c r="F132" i="1"/>
  <c r="F133" i="1"/>
  <c r="F134" i="1"/>
  <c r="F135" i="1"/>
  <c r="F136" i="1"/>
  <c r="F137" i="1"/>
  <c r="F138" i="1"/>
  <c r="F124" i="1"/>
  <c r="O50" i="1" s="1"/>
  <c r="K15" i="7"/>
  <c r="H162" i="1" l="1"/>
  <c r="L162" i="1" s="1"/>
  <c r="H134" i="1"/>
  <c r="H133" i="1"/>
  <c r="Q15" i="16"/>
  <c r="P16" i="16"/>
  <c r="W77" i="7"/>
  <c r="X77" i="7" s="1"/>
  <c r="Y17" i="9"/>
  <c r="H35" i="7"/>
  <c r="F46" i="7"/>
  <c r="F34" i="7"/>
  <c r="F36" i="7"/>
  <c r="F37" i="7"/>
  <c r="F38" i="7"/>
  <c r="F39" i="7"/>
  <c r="F40" i="7"/>
  <c r="F41" i="7"/>
  <c r="F42" i="7"/>
  <c r="F43" i="7"/>
  <c r="F44" i="7"/>
  <c r="F45" i="7"/>
  <c r="F35" i="7"/>
  <c r="B24" i="9"/>
  <c r="B25" i="9"/>
  <c r="J24" i="7"/>
  <c r="J25" i="7"/>
  <c r="J26" i="7"/>
  <c r="J27" i="7"/>
  <c r="J28" i="7"/>
  <c r="J29" i="7"/>
  <c r="J30" i="7"/>
  <c r="J23" i="7"/>
  <c r="N81" i="7"/>
  <c r="N80" i="7" s="1"/>
  <c r="M81" i="7"/>
  <c r="M80" i="7" s="1"/>
  <c r="L81" i="7"/>
  <c r="K81" i="7"/>
  <c r="J81" i="7"/>
  <c r="I81" i="7"/>
  <c r="D21" i="9"/>
  <c r="D22" i="9"/>
  <c r="D23" i="9"/>
  <c r="D24" i="9"/>
  <c r="D25" i="9"/>
  <c r="D20" i="9"/>
  <c r="D19" i="9"/>
  <c r="W74" i="7"/>
  <c r="X74" i="7" s="1"/>
  <c r="W75" i="7"/>
  <c r="X75" i="7" s="1"/>
  <c r="W76" i="7"/>
  <c r="X76" i="7" s="1"/>
  <c r="W73" i="7"/>
  <c r="X73" i="7" s="1"/>
  <c r="X72" i="7"/>
  <c r="Y21" i="9" s="1"/>
  <c r="W72" i="7"/>
  <c r="X21" i="9" s="1"/>
  <c r="V72" i="7"/>
  <c r="W21" i="9" s="1"/>
  <c r="U72" i="7"/>
  <c r="V21" i="9" s="1"/>
  <c r="V22" i="9" s="1"/>
  <c r="T72" i="7"/>
  <c r="U21" i="9" s="1"/>
  <c r="S72" i="7"/>
  <c r="T21" i="9" s="1"/>
  <c r="R72" i="7"/>
  <c r="S21" i="9" s="1"/>
  <c r="Q72" i="7"/>
  <c r="R21" i="9" s="1"/>
  <c r="H29" i="7"/>
  <c r="H30" i="7" s="1"/>
  <c r="G29" i="7"/>
  <c r="G30" i="7" s="1"/>
  <c r="E30" i="7"/>
  <c r="E29" i="7"/>
  <c r="T17" i="9"/>
  <c r="AA30" i="9"/>
  <c r="AA29" i="9"/>
  <c r="E25" i="7"/>
  <c r="E26" i="7"/>
  <c r="E27" i="7"/>
  <c r="E28" i="7"/>
  <c r="E24" i="7"/>
  <c r="P20" i="9"/>
  <c r="Y20" i="9"/>
  <c r="X20" i="9"/>
  <c r="W20" i="9"/>
  <c r="V20" i="9"/>
  <c r="U20" i="9"/>
  <c r="T20" i="9"/>
  <c r="S20" i="9"/>
  <c r="R20" i="9"/>
  <c r="M5" i="9"/>
  <c r="O69" i="7"/>
  <c r="X3" i="9" s="1"/>
  <c r="R78" i="7"/>
  <c r="S78" i="7"/>
  <c r="T78" i="7"/>
  <c r="U78" i="7"/>
  <c r="V78" i="7"/>
  <c r="W78" i="7" s="1"/>
  <c r="X78" i="7" s="1"/>
  <c r="Q78" i="7"/>
  <c r="K30" i="9"/>
  <c r="P30" i="9"/>
  <c r="J5" i="9" l="1"/>
  <c r="P83" i="9"/>
  <c r="R23" i="9"/>
  <c r="R15" i="16"/>
  <c r="Q16" i="16"/>
  <c r="C99" i="9"/>
  <c r="D99" i="9" s="1"/>
  <c r="S23" i="9"/>
  <c r="W23" i="9"/>
  <c r="T23" i="9"/>
  <c r="U23" i="9"/>
  <c r="O21" i="9"/>
  <c r="L43" i="9" s="1"/>
  <c r="Y23" i="9"/>
  <c r="F24" i="9"/>
  <c r="X23" i="9"/>
  <c r="P21" i="9"/>
  <c r="G25" i="9"/>
  <c r="G21" i="9"/>
  <c r="G20" i="9"/>
  <c r="B61" i="9" s="1"/>
  <c r="F21" i="9"/>
  <c r="F23" i="9"/>
  <c r="F22" i="9"/>
  <c r="F25" i="9"/>
  <c r="E24" i="9"/>
  <c r="V23" i="9"/>
  <c r="G24" i="9"/>
  <c r="R22" i="9"/>
  <c r="E23" i="9"/>
  <c r="F20" i="9"/>
  <c r="P24" i="9" s="1"/>
  <c r="G23" i="9"/>
  <c r="E20" i="9"/>
  <c r="B52" i="9" s="1"/>
  <c r="P52" i="9" s="1"/>
  <c r="E22" i="9"/>
  <c r="G22" i="9"/>
  <c r="E25" i="9"/>
  <c r="E21" i="9"/>
  <c r="T22" i="9"/>
  <c r="X22" i="9"/>
  <c r="Y22" i="9"/>
  <c r="U22" i="9"/>
  <c r="W22" i="9"/>
  <c r="S22" i="9"/>
  <c r="F101" i="2"/>
  <c r="F98" i="2"/>
  <c r="F97" i="2"/>
  <c r="F94" i="2"/>
  <c r="F93" i="2"/>
  <c r="F90" i="2"/>
  <c r="F89" i="2"/>
  <c r="F86" i="2"/>
  <c r="F85" i="2"/>
  <c r="F82" i="2"/>
  <c r="F81" i="2"/>
  <c r="F78" i="2"/>
  <c r="F77" i="2"/>
  <c r="C47" i="3"/>
  <c r="O99" i="9" s="1"/>
  <c r="J58" i="7"/>
  <c r="P5" i="9"/>
  <c r="Q5" i="9"/>
  <c r="R5" i="9"/>
  <c r="S5" i="9"/>
  <c r="T5" i="9"/>
  <c r="U5" i="9"/>
  <c r="V5" i="9"/>
  <c r="W5" i="9"/>
  <c r="X5" i="9"/>
  <c r="Q83" i="9" l="1"/>
  <c r="S15" i="16"/>
  <c r="R16" i="16"/>
  <c r="D43" i="9"/>
  <c r="C43" i="9"/>
  <c r="J43" i="9"/>
  <c r="I43" i="9"/>
  <c r="B43" i="9"/>
  <c r="M43" i="9"/>
  <c r="H43" i="9"/>
  <c r="K43" i="9"/>
  <c r="E43" i="9"/>
  <c r="F43" i="9"/>
  <c r="G43" i="9"/>
  <c r="M35" i="9"/>
  <c r="H39" i="9"/>
  <c r="J35" i="9"/>
  <c r="L35" i="9"/>
  <c r="F35" i="9"/>
  <c r="P61" i="9"/>
  <c r="C61" i="9"/>
  <c r="C39" i="9"/>
  <c r="M24" i="9"/>
  <c r="E39" i="9"/>
  <c r="G39" i="9"/>
  <c r="J39" i="9"/>
  <c r="V30" i="9"/>
  <c r="B35" i="9"/>
  <c r="E35" i="9"/>
  <c r="H35" i="9"/>
  <c r="K35" i="9"/>
  <c r="F39" i="9"/>
  <c r="I39" i="9"/>
  <c r="L39" i="9"/>
  <c r="D35" i="9"/>
  <c r="B39" i="9"/>
  <c r="M39" i="9"/>
  <c r="I35" i="9"/>
  <c r="D39" i="9"/>
  <c r="K39" i="9"/>
  <c r="G35" i="9"/>
  <c r="C35" i="9"/>
  <c r="P23" i="9"/>
  <c r="P25" i="9" s="1"/>
  <c r="P22" i="9"/>
  <c r="C52" i="9"/>
  <c r="D52" i="9" s="1"/>
  <c r="E52" i="9" s="1"/>
  <c r="F52" i="9" s="1"/>
  <c r="G52" i="9" s="1"/>
  <c r="H52" i="9" s="1"/>
  <c r="I52" i="9" s="1"/>
  <c r="J52" i="9" s="1"/>
  <c r="K52" i="9" s="1"/>
  <c r="L52" i="9" s="1"/>
  <c r="M52" i="9" s="1"/>
  <c r="Q52" i="9"/>
  <c r="R52" i="9" s="1"/>
  <c r="S52" i="9" s="1"/>
  <c r="T52" i="9" s="1"/>
  <c r="U52" i="9" s="1"/>
  <c r="V52" i="9" s="1"/>
  <c r="W52" i="9" s="1"/>
  <c r="X52" i="9" s="1"/>
  <c r="Y52" i="9" s="1"/>
  <c r="Z52" i="9" s="1"/>
  <c r="AA52" i="9" s="1"/>
  <c r="Z30" i="9"/>
  <c r="T30" i="9"/>
  <c r="H30" i="9"/>
  <c r="J30" i="9" s="1"/>
  <c r="O30" i="9"/>
  <c r="Y5" i="9"/>
  <c r="Q11" i="9"/>
  <c r="T15" i="16" l="1"/>
  <c r="S16" i="16"/>
  <c r="C62" i="9"/>
  <c r="C103" i="9"/>
  <c r="I62" i="9"/>
  <c r="I103" i="9"/>
  <c r="D62" i="9"/>
  <c r="D103" i="9"/>
  <c r="K62" i="9"/>
  <c r="K103" i="9"/>
  <c r="F62" i="9"/>
  <c r="F103" i="9"/>
  <c r="M62" i="9"/>
  <c r="M103" i="9"/>
  <c r="G62" i="9"/>
  <c r="G103" i="9"/>
  <c r="H62" i="9"/>
  <c r="H103" i="9"/>
  <c r="L62" i="9"/>
  <c r="L103" i="9"/>
  <c r="E62" i="9"/>
  <c r="E103" i="9"/>
  <c r="J62" i="9"/>
  <c r="J103" i="9"/>
  <c r="B62" i="9"/>
  <c r="B103" i="9"/>
  <c r="B54" i="9"/>
  <c r="C54" i="9" s="1"/>
  <c r="B63" i="9"/>
  <c r="D61" i="9"/>
  <c r="Q61" i="9"/>
  <c r="J74" i="3"/>
  <c r="E6" i="18" s="1"/>
  <c r="W3" i="9"/>
  <c r="W4" i="9"/>
  <c r="X4" i="9"/>
  <c r="Q3" i="9"/>
  <c r="R3" i="9"/>
  <c r="S3" i="9"/>
  <c r="T3" i="9"/>
  <c r="U3" i="9"/>
  <c r="V3" i="9"/>
  <c r="Q4" i="9"/>
  <c r="R4" i="9"/>
  <c r="S4" i="9"/>
  <c r="T4" i="9"/>
  <c r="U4" i="9"/>
  <c r="V4" i="9"/>
  <c r="P4" i="9"/>
  <c r="P3" i="9"/>
  <c r="J6" i="18" l="1"/>
  <c r="N6" i="18"/>
  <c r="R6" i="18"/>
  <c r="V6" i="18"/>
  <c r="Z6" i="18"/>
  <c r="K6" i="18"/>
  <c r="O6" i="18"/>
  <c r="S6" i="18"/>
  <c r="W6" i="18"/>
  <c r="G6" i="18"/>
  <c r="H6" i="18"/>
  <c r="L6" i="18"/>
  <c r="P6" i="18"/>
  <c r="T6" i="18"/>
  <c r="X6" i="18"/>
  <c r="I6" i="18"/>
  <c r="M6" i="18"/>
  <c r="Q6" i="18"/>
  <c r="U6" i="18"/>
  <c r="Y6" i="18"/>
  <c r="U15" i="16"/>
  <c r="T16" i="16"/>
  <c r="N103" i="9"/>
  <c r="P54" i="9"/>
  <c r="E53" i="9"/>
  <c r="I53" i="9"/>
  <c r="W53" i="9" s="1"/>
  <c r="M53" i="9"/>
  <c r="AA53" i="9" s="1"/>
  <c r="C53" i="9"/>
  <c r="Q53" i="9" s="1"/>
  <c r="G53" i="9"/>
  <c r="U53" i="9" s="1"/>
  <c r="K53" i="9"/>
  <c r="Y53" i="9" s="1"/>
  <c r="D53" i="9"/>
  <c r="R53" i="9" s="1"/>
  <c r="H53" i="9"/>
  <c r="V53" i="9" s="1"/>
  <c r="L53" i="9"/>
  <c r="Z53" i="9" s="1"/>
  <c r="B53" i="9"/>
  <c r="P53" i="9" s="1"/>
  <c r="F53" i="9"/>
  <c r="T53" i="9" s="1"/>
  <c r="J53" i="9"/>
  <c r="X53" i="9" s="1"/>
  <c r="S53" i="9"/>
  <c r="E61" i="9"/>
  <c r="R61" i="9"/>
  <c r="P62" i="9"/>
  <c r="P63" i="9"/>
  <c r="C63" i="9"/>
  <c r="D54" i="9"/>
  <c r="Q54" i="9"/>
  <c r="M4" i="9"/>
  <c r="C5" i="9"/>
  <c r="B5" i="9"/>
  <c r="D5" i="9"/>
  <c r="L5" i="9"/>
  <c r="P11" i="9" s="1"/>
  <c r="I5" i="9"/>
  <c r="C26" i="3"/>
  <c r="V18" i="9" s="1"/>
  <c r="H36" i="7"/>
  <c r="H37" i="7" s="1"/>
  <c r="H38" i="7" s="1"/>
  <c r="H39" i="7" s="1"/>
  <c r="H40" i="7" s="1"/>
  <c r="H41" i="7" s="1"/>
  <c r="H42" i="7" s="1"/>
  <c r="H43" i="7" s="1"/>
  <c r="H44" i="7" s="1"/>
  <c r="H45" i="7" s="1"/>
  <c r="V15" i="16" l="1"/>
  <c r="U16" i="16"/>
  <c r="D63" i="9"/>
  <c r="Q63" i="9"/>
  <c r="F61" i="9"/>
  <c r="S61" i="9"/>
  <c r="Q62" i="9"/>
  <c r="S17" i="9"/>
  <c r="R29" i="9"/>
  <c r="M29" i="9"/>
  <c r="X29" i="9"/>
  <c r="F29" i="9"/>
  <c r="J29" i="9" s="1"/>
  <c r="M23" i="9"/>
  <c r="H46" i="7"/>
  <c r="H47" i="7" s="1"/>
  <c r="P26" i="9"/>
  <c r="E54" i="9"/>
  <c r="R54" i="9"/>
  <c r="E5" i="9"/>
  <c r="F5" i="9" s="1"/>
  <c r="G5" i="9" s="1"/>
  <c r="D11" i="9"/>
  <c r="W15" i="16" l="1"/>
  <c r="V16" i="16"/>
  <c r="L60" i="9"/>
  <c r="Z60" i="9" s="1"/>
  <c r="L56" i="9"/>
  <c r="Z56" i="9" s="1"/>
  <c r="L58" i="9"/>
  <c r="Z58" i="9" s="1"/>
  <c r="F58" i="9"/>
  <c r="T58" i="9" s="1"/>
  <c r="G58" i="9"/>
  <c r="U58" i="9" s="1"/>
  <c r="H56" i="9"/>
  <c r="V56" i="9" s="1"/>
  <c r="I60" i="9"/>
  <c r="W60" i="9" s="1"/>
  <c r="D58" i="9"/>
  <c r="R58" i="9" s="1"/>
  <c r="K56" i="9"/>
  <c r="Y56" i="9" s="1"/>
  <c r="C60" i="9"/>
  <c r="M58" i="9"/>
  <c r="AA58" i="9" s="1"/>
  <c r="H58" i="9"/>
  <c r="V58" i="9" s="1"/>
  <c r="D60" i="9"/>
  <c r="R60" i="9" s="1"/>
  <c r="E56" i="9"/>
  <c r="S56" i="9" s="1"/>
  <c r="F60" i="9"/>
  <c r="T60" i="9" s="1"/>
  <c r="G56" i="9"/>
  <c r="U56" i="9" s="1"/>
  <c r="B58" i="9"/>
  <c r="P58" i="9" s="1"/>
  <c r="I58" i="9"/>
  <c r="W58" i="9" s="1"/>
  <c r="D56" i="9"/>
  <c r="R56" i="9" s="1"/>
  <c r="E60" i="9"/>
  <c r="S60" i="9" s="1"/>
  <c r="J60" i="9"/>
  <c r="X60" i="9" s="1"/>
  <c r="C58" i="9"/>
  <c r="Q58" i="9" s="1"/>
  <c r="M56" i="9"/>
  <c r="AA56" i="9" s="1"/>
  <c r="J58" i="9"/>
  <c r="X58" i="9" s="1"/>
  <c r="F56" i="9"/>
  <c r="T56" i="9" s="1"/>
  <c r="H60" i="9"/>
  <c r="V60" i="9" s="1"/>
  <c r="B60" i="9"/>
  <c r="P60" i="9" s="1"/>
  <c r="I56" i="9"/>
  <c r="W56" i="9" s="1"/>
  <c r="K60" i="9"/>
  <c r="Y60" i="9" s="1"/>
  <c r="E58" i="9"/>
  <c r="S58" i="9" s="1"/>
  <c r="J56" i="9"/>
  <c r="X56" i="9" s="1"/>
  <c r="C56" i="9"/>
  <c r="Q56" i="9" s="1"/>
  <c r="G60" i="9"/>
  <c r="U60" i="9" s="1"/>
  <c r="B56" i="9"/>
  <c r="P56" i="9" s="1"/>
  <c r="K58" i="9"/>
  <c r="Y58" i="9" s="1"/>
  <c r="M60" i="9"/>
  <c r="AA60" i="9" s="1"/>
  <c r="R62" i="9"/>
  <c r="E63" i="9"/>
  <c r="R63" i="9"/>
  <c r="G61" i="9"/>
  <c r="T61" i="9"/>
  <c r="Q60" i="9"/>
  <c r="F54" i="9"/>
  <c r="S54" i="9"/>
  <c r="X30" i="9"/>
  <c r="Z29" i="9"/>
  <c r="M30" i="9"/>
  <c r="O29" i="9"/>
  <c r="T29" i="9"/>
  <c r="V29" i="9" s="1"/>
  <c r="R30" i="9"/>
  <c r="H29" i="9"/>
  <c r="F30" i="9"/>
  <c r="K5" i="9"/>
  <c r="B51" i="9" s="1"/>
  <c r="H5" i="9"/>
  <c r="B11" i="9" s="1"/>
  <c r="K19" i="7"/>
  <c r="K18" i="7"/>
  <c r="K17" i="7"/>
  <c r="K16" i="7"/>
  <c r="K6" i="7"/>
  <c r="K7" i="7"/>
  <c r="K8" i="7"/>
  <c r="K10" i="7"/>
  <c r="K11" i="7"/>
  <c r="K12" i="7"/>
  <c r="K13" i="7"/>
  <c r="K5" i="7"/>
  <c r="G9" i="7"/>
  <c r="J156" i="1" s="1"/>
  <c r="H155" i="1" l="1"/>
  <c r="L155" i="1"/>
  <c r="H127" i="1"/>
  <c r="H164" i="1"/>
  <c r="L164" i="1"/>
  <c r="H136" i="1"/>
  <c r="L157" i="1"/>
  <c r="H157" i="1"/>
  <c r="H129" i="1"/>
  <c r="H160" i="1"/>
  <c r="L160" i="1"/>
  <c r="H132" i="1"/>
  <c r="L159" i="1"/>
  <c r="H159" i="1"/>
  <c r="H131" i="1"/>
  <c r="L154" i="1"/>
  <c r="H154" i="1"/>
  <c r="H126" i="1"/>
  <c r="H165" i="1"/>
  <c r="L165" i="1"/>
  <c r="H137" i="1"/>
  <c r="H158" i="1"/>
  <c r="L158" i="1"/>
  <c r="H130" i="1"/>
  <c r="H153" i="1"/>
  <c r="L153" i="1"/>
  <c r="H125" i="1"/>
  <c r="H166" i="1"/>
  <c r="L166" i="1"/>
  <c r="H138" i="1"/>
  <c r="H152" i="1"/>
  <c r="L152" i="1"/>
  <c r="H124" i="1"/>
  <c r="H163" i="1"/>
  <c r="L163" i="1"/>
  <c r="H135" i="1"/>
  <c r="X15" i="16"/>
  <c r="W16" i="16"/>
  <c r="K9" i="7"/>
  <c r="J128" i="1"/>
  <c r="H61" i="9"/>
  <c r="U61" i="9"/>
  <c r="S62" i="9"/>
  <c r="F63" i="9"/>
  <c r="S63" i="9"/>
  <c r="G54" i="9"/>
  <c r="T54" i="9"/>
  <c r="C51" i="9"/>
  <c r="P51" i="9"/>
  <c r="R11" i="9"/>
  <c r="T11" i="9" s="1"/>
  <c r="S11" i="9" s="1"/>
  <c r="U11" i="9" s="1"/>
  <c r="C11" i="9"/>
  <c r="C3" i="11"/>
  <c r="C2" i="11"/>
  <c r="B1" i="11"/>
  <c r="B104" i="11" l="1"/>
  <c r="B106" i="11"/>
  <c r="B108" i="11"/>
  <c r="B110" i="11"/>
  <c r="B112" i="11"/>
  <c r="B114" i="11"/>
  <c r="B103" i="11"/>
  <c r="I98" i="7" s="1"/>
  <c r="B105" i="11"/>
  <c r="B107" i="11"/>
  <c r="B109" i="11"/>
  <c r="B111" i="11"/>
  <c r="B113" i="11"/>
  <c r="D109" i="7" s="1"/>
  <c r="D124" i="7" s="1"/>
  <c r="B115" i="11"/>
  <c r="L156" i="1"/>
  <c r="H156" i="1"/>
  <c r="H128" i="1"/>
  <c r="B57" i="11"/>
  <c r="F71" i="7" s="1"/>
  <c r="B26" i="11"/>
  <c r="D2" i="7" s="1"/>
  <c r="B101" i="11"/>
  <c r="B101" i="9" s="1"/>
  <c r="B93" i="11"/>
  <c r="F92" i="7" s="1"/>
  <c r="B85" i="11"/>
  <c r="I62" i="7" s="1"/>
  <c r="L25" i="9" s="1"/>
  <c r="B77" i="11"/>
  <c r="H83" i="7" s="1"/>
  <c r="B69" i="11"/>
  <c r="B61" i="11"/>
  <c r="B53" i="11"/>
  <c r="P8" i="9" s="1"/>
  <c r="B45" i="11"/>
  <c r="B37" i="11"/>
  <c r="B29" i="11"/>
  <c r="G3" i="7" s="1"/>
  <c r="B21" i="11"/>
  <c r="B13" i="11"/>
  <c r="B5" i="11"/>
  <c r="B102" i="11"/>
  <c r="B94" i="11"/>
  <c r="H85" i="7" s="1"/>
  <c r="B86" i="11"/>
  <c r="B78" i="11"/>
  <c r="B70" i="11"/>
  <c r="B62" i="11"/>
  <c r="B7" i="9" s="1"/>
  <c r="O7" i="9" s="1"/>
  <c r="B54" i="11"/>
  <c r="B46" i="11"/>
  <c r="J49" i="7" s="1"/>
  <c r="B38" i="11"/>
  <c r="D14" i="7" s="1"/>
  <c r="C65" i="2" s="1"/>
  <c r="B30" i="11"/>
  <c r="B22" i="11"/>
  <c r="B14" i="11"/>
  <c r="B6" i="11"/>
  <c r="E22" i="7" s="1"/>
  <c r="B99" i="11"/>
  <c r="I67" i="7" s="1"/>
  <c r="B91" i="11"/>
  <c r="F94" i="7" s="1"/>
  <c r="B83" i="11"/>
  <c r="B75" i="11"/>
  <c r="B67" i="11"/>
  <c r="B59" i="11"/>
  <c r="M8" i="9" s="1"/>
  <c r="AA14" i="9" s="1"/>
  <c r="B51" i="11"/>
  <c r="B43" i="11"/>
  <c r="B35" i="11"/>
  <c r="D11" i="7" s="1"/>
  <c r="B27" i="11"/>
  <c r="B19" i="11"/>
  <c r="B11" i="11"/>
  <c r="I22" i="7" s="1"/>
  <c r="H108" i="7"/>
  <c r="B100" i="11"/>
  <c r="W32" i="7" s="1"/>
  <c r="O101" i="9" s="1"/>
  <c r="B92" i="11"/>
  <c r="M2" i="7" s="1"/>
  <c r="B84" i="11"/>
  <c r="B76" i="11"/>
  <c r="B68" i="11"/>
  <c r="B60" i="11"/>
  <c r="I58" i="7" s="1"/>
  <c r="B52" i="11"/>
  <c r="V14" i="9" s="1"/>
  <c r="B44" i="11"/>
  <c r="J53" i="7" s="1"/>
  <c r="B36" i="11"/>
  <c r="D12" i="7" s="1"/>
  <c r="C63" i="2" s="1"/>
  <c r="B28" i="11"/>
  <c r="I3" i="7" s="1"/>
  <c r="B20" i="11"/>
  <c r="B12" i="11"/>
  <c r="B4" i="11"/>
  <c r="I117" i="7"/>
  <c r="B97" i="11"/>
  <c r="H88" i="7" s="1"/>
  <c r="B89" i="11"/>
  <c r="F91" i="7" s="1"/>
  <c r="B81" i="11"/>
  <c r="I65" i="7" s="1"/>
  <c r="B73" i="11"/>
  <c r="B65" i="11"/>
  <c r="S18" i="9" s="1"/>
  <c r="B49" i="11"/>
  <c r="F69" i="7" s="1"/>
  <c r="B41" i="11"/>
  <c r="G32" i="7" s="1"/>
  <c r="B33" i="11"/>
  <c r="B25" i="11"/>
  <c r="B17" i="11"/>
  <c r="B9" i="11"/>
  <c r="H22" i="7" s="1"/>
  <c r="I102" i="7"/>
  <c r="B98" i="11"/>
  <c r="I66" i="7" s="1"/>
  <c r="B90" i="11"/>
  <c r="F93" i="7" s="1"/>
  <c r="B82" i="11"/>
  <c r="I59" i="7" s="1"/>
  <c r="B74" i="11"/>
  <c r="Q71" i="7" s="1"/>
  <c r="B66" i="11"/>
  <c r="B58" i="11"/>
  <c r="B50" i="11"/>
  <c r="F70" i="7" s="1"/>
  <c r="B42" i="11"/>
  <c r="J51" i="7" s="1"/>
  <c r="B34" i="11"/>
  <c r="B18" i="11"/>
  <c r="B10" i="11"/>
  <c r="J22" i="7" s="1"/>
  <c r="D105" i="7"/>
  <c r="D120" i="7" s="1"/>
  <c r="D12" i="15"/>
  <c r="B95" i="11"/>
  <c r="H86" i="7" s="1"/>
  <c r="B79" i="11"/>
  <c r="H84" i="7" s="1"/>
  <c r="B47" i="11"/>
  <c r="I55" i="7" s="1"/>
  <c r="B15" i="11"/>
  <c r="B88" i="11"/>
  <c r="B56" i="11"/>
  <c r="B24" i="11"/>
  <c r="B71" i="11"/>
  <c r="B39" i="11"/>
  <c r="D15" i="7" s="1"/>
  <c r="B7" i="11"/>
  <c r="F22" i="7" s="1"/>
  <c r="B80" i="11"/>
  <c r="D22" i="7" s="1"/>
  <c r="B48" i="11"/>
  <c r="I56" i="7" s="1"/>
  <c r="B16" i="11"/>
  <c r="B63" i="11"/>
  <c r="B13" i="9" s="1"/>
  <c r="O13" i="9" s="1"/>
  <c r="B31" i="11"/>
  <c r="B72" i="11"/>
  <c r="B40" i="11"/>
  <c r="D16" i="7" s="1"/>
  <c r="B8" i="11"/>
  <c r="G22" i="7" s="1"/>
  <c r="B87" i="11"/>
  <c r="B55" i="11"/>
  <c r="I57" i="7" s="1"/>
  <c r="B23" i="11"/>
  <c r="B96" i="11"/>
  <c r="H87" i="7" s="1"/>
  <c r="B64" i="11"/>
  <c r="N16" i="9" s="1"/>
  <c r="B32" i="11"/>
  <c r="D5" i="7" s="1"/>
  <c r="C56" i="2" s="1"/>
  <c r="D13" i="7"/>
  <c r="C64" i="2" s="1"/>
  <c r="Y15" i="16"/>
  <c r="X16" i="16"/>
  <c r="G63" i="9"/>
  <c r="T63" i="9"/>
  <c r="I61" i="9"/>
  <c r="V61" i="9"/>
  <c r="T62" i="9"/>
  <c r="H54" i="9"/>
  <c r="U54" i="9"/>
  <c r="D51" i="9"/>
  <c r="Q51" i="9"/>
  <c r="V11" i="9"/>
  <c r="E11" i="9"/>
  <c r="B3" i="11"/>
  <c r="D21" i="7" s="1"/>
  <c r="F72" i="7" l="1"/>
  <c r="S14" i="9"/>
  <c r="H90" i="7"/>
  <c r="B74" i="9" s="1"/>
  <c r="B48" i="9"/>
  <c r="I90" i="7"/>
  <c r="C74" i="9" s="1"/>
  <c r="P48" i="9"/>
  <c r="B123" i="1"/>
  <c r="B151" i="1"/>
  <c r="Z15" i="16"/>
  <c r="Y16" i="16"/>
  <c r="C135" i="1"/>
  <c r="C67" i="2"/>
  <c r="C134" i="1"/>
  <c r="C162" i="1" s="1"/>
  <c r="C66" i="2"/>
  <c r="C52" i="2" s="1"/>
  <c r="C130" i="1"/>
  <c r="C158" i="1" s="1"/>
  <c r="C62" i="2"/>
  <c r="K32" i="7"/>
  <c r="K21" i="7"/>
  <c r="B32" i="9" s="1"/>
  <c r="W21" i="7"/>
  <c r="B37" i="9" s="1"/>
  <c r="C131" i="1"/>
  <c r="C159" i="1" s="1"/>
  <c r="G103" i="2"/>
  <c r="H103" i="2" s="1"/>
  <c r="C124" i="1"/>
  <c r="G101" i="2" s="1"/>
  <c r="G102" i="2"/>
  <c r="H102" i="2" s="1"/>
  <c r="C132" i="1"/>
  <c r="C160" i="1" s="1"/>
  <c r="G104" i="2"/>
  <c r="H104" i="2" s="1"/>
  <c r="C133" i="1"/>
  <c r="C161" i="1" s="1"/>
  <c r="G105" i="2"/>
  <c r="H105" i="2" s="1"/>
  <c r="C30" i="9"/>
  <c r="C29" i="9"/>
  <c r="I64" i="7"/>
  <c r="I63" i="7"/>
  <c r="U62" i="9"/>
  <c r="H63" i="9"/>
  <c r="U63" i="9"/>
  <c r="J61" i="9"/>
  <c r="W61" i="9"/>
  <c r="F77" i="7"/>
  <c r="F76" i="7"/>
  <c r="I54" i="9"/>
  <c r="V54" i="9"/>
  <c r="E51" i="9"/>
  <c r="R51" i="9"/>
  <c r="J52" i="7"/>
  <c r="H82" i="7"/>
  <c r="P78" i="7"/>
  <c r="F75" i="7"/>
  <c r="F74" i="7"/>
  <c r="F73" i="7"/>
  <c r="P14" i="9"/>
  <c r="U14" i="9"/>
  <c r="D14" i="9"/>
  <c r="C8" i="9"/>
  <c r="I8" i="9"/>
  <c r="J8" i="9"/>
  <c r="Y14" i="9"/>
  <c r="R14" i="9" s="1"/>
  <c r="L8" i="9"/>
  <c r="K8" i="9"/>
  <c r="L14" i="9"/>
  <c r="D8" i="9"/>
  <c r="B8" i="9"/>
  <c r="T14" i="9"/>
  <c r="B14" i="9"/>
  <c r="O14" i="9"/>
  <c r="W14" i="9"/>
  <c r="Q14" i="9" s="1"/>
  <c r="O8" i="9" s="1"/>
  <c r="H14" i="9"/>
  <c r="F8" i="9"/>
  <c r="E8" i="9"/>
  <c r="G8" i="9"/>
  <c r="X14" i="9"/>
  <c r="U8" i="9"/>
  <c r="H8" i="9"/>
  <c r="S8" i="9"/>
  <c r="Q8" i="9"/>
  <c r="F11" i="9"/>
  <c r="I11" i="9"/>
  <c r="N50" i="7"/>
  <c r="Q50" i="7"/>
  <c r="U50" i="7"/>
  <c r="L50" i="7"/>
  <c r="T50" i="7"/>
  <c r="K50" i="7"/>
  <c r="S50" i="7"/>
  <c r="O50" i="7"/>
  <c r="P50" i="7"/>
  <c r="M50" i="7"/>
  <c r="V50" i="7"/>
  <c r="F3" i="7"/>
  <c r="B140" i="1"/>
  <c r="B168" i="1" s="1"/>
  <c r="D3" i="7"/>
  <c r="R50" i="7"/>
  <c r="L33" i="7"/>
  <c r="X22" i="7"/>
  <c r="L22" i="7"/>
  <c r="P33" i="7"/>
  <c r="AB22" i="7"/>
  <c r="P22" i="7"/>
  <c r="N33" i="7"/>
  <c r="Z22" i="7"/>
  <c r="N22" i="7"/>
  <c r="Q33" i="7"/>
  <c r="AC22" i="7"/>
  <c r="Q22" i="7"/>
  <c r="U33" i="7"/>
  <c r="AG22" i="7"/>
  <c r="U22" i="7"/>
  <c r="T33" i="7"/>
  <c r="AF22" i="7"/>
  <c r="T22" i="7"/>
  <c r="K33" i="7"/>
  <c r="W22" i="7"/>
  <c r="K22" i="7"/>
  <c r="S22" i="7"/>
  <c r="S33" i="7"/>
  <c r="AE22" i="7"/>
  <c r="R33" i="7"/>
  <c r="AD22" i="7"/>
  <c r="R22" i="7"/>
  <c r="O33" i="7"/>
  <c r="AA22" i="7"/>
  <c r="O22" i="7"/>
  <c r="M33" i="7"/>
  <c r="Y22" i="7"/>
  <c r="M22" i="7"/>
  <c r="V33" i="7"/>
  <c r="AH22" i="7"/>
  <c r="V22" i="7"/>
  <c r="C152" i="1" l="1"/>
  <c r="B41" i="9"/>
  <c r="G106" i="2"/>
  <c r="H106" i="2" s="1"/>
  <c r="C163" i="1"/>
  <c r="AA15" i="16"/>
  <c r="Z16" i="16"/>
  <c r="B79" i="9"/>
  <c r="K61" i="9"/>
  <c r="X61" i="9"/>
  <c r="V62" i="9"/>
  <c r="I63" i="9"/>
  <c r="V63" i="9"/>
  <c r="J54" i="9"/>
  <c r="W54" i="9"/>
  <c r="F51" i="9"/>
  <c r="S51" i="9"/>
  <c r="U49" i="9"/>
  <c r="G49" i="9"/>
  <c r="K49" i="9"/>
  <c r="Y49" i="9"/>
  <c r="S49" i="9"/>
  <c r="E49" i="9"/>
  <c r="W49" i="9"/>
  <c r="I49" i="9"/>
  <c r="T49" i="9"/>
  <c r="F49" i="9"/>
  <c r="C49" i="9"/>
  <c r="Q49" i="9"/>
  <c r="AA49" i="9"/>
  <c r="M49" i="9"/>
  <c r="X49" i="9"/>
  <c r="J49" i="9"/>
  <c r="L49" i="9"/>
  <c r="Z49" i="9"/>
  <c r="D49" i="9"/>
  <c r="R49" i="9"/>
  <c r="P49" i="9"/>
  <c r="B49" i="9"/>
  <c r="H49" i="9"/>
  <c r="V49" i="9"/>
  <c r="J11" i="9"/>
  <c r="F79" i="9" l="1"/>
  <c r="H101" i="2"/>
  <c r="B78" i="9"/>
  <c r="L79" i="9" s="1"/>
  <c r="L84" i="9"/>
  <c r="AB15" i="16"/>
  <c r="AA16" i="16"/>
  <c r="H38" i="9"/>
  <c r="H42" i="9" s="1"/>
  <c r="H102" i="9"/>
  <c r="D38" i="9"/>
  <c r="D42" i="9" s="1"/>
  <c r="D102" i="9"/>
  <c r="C38" i="9"/>
  <c r="C42" i="9" s="1"/>
  <c r="C102" i="9"/>
  <c r="K38" i="9"/>
  <c r="K42" i="9" s="1"/>
  <c r="K102" i="9"/>
  <c r="B38" i="9"/>
  <c r="B42" i="9" s="1"/>
  <c r="B102" i="9"/>
  <c r="M38" i="9"/>
  <c r="M42" i="9" s="1"/>
  <c r="M102" i="9"/>
  <c r="F38" i="9"/>
  <c r="F42" i="9" s="1"/>
  <c r="F102" i="9"/>
  <c r="E38" i="9"/>
  <c r="E42" i="9" s="1"/>
  <c r="E102" i="9"/>
  <c r="G38" i="9"/>
  <c r="G42" i="9" s="1"/>
  <c r="G102" i="9"/>
  <c r="L38" i="9"/>
  <c r="L42" i="9" s="1"/>
  <c r="L102" i="9"/>
  <c r="J38" i="9"/>
  <c r="J42" i="9" s="1"/>
  <c r="J102" i="9"/>
  <c r="I38" i="9"/>
  <c r="I42" i="9" s="1"/>
  <c r="I102" i="9"/>
  <c r="J63" i="9"/>
  <c r="W63" i="9"/>
  <c r="L61" i="9"/>
  <c r="Y61" i="9"/>
  <c r="W62" i="9"/>
  <c r="K54" i="9"/>
  <c r="X54" i="9"/>
  <c r="H33" i="9"/>
  <c r="D33" i="9"/>
  <c r="C33" i="9"/>
  <c r="K33" i="9"/>
  <c r="B33" i="9"/>
  <c r="M33" i="9"/>
  <c r="F33" i="9"/>
  <c r="E33" i="9"/>
  <c r="G33" i="9"/>
  <c r="L33" i="9"/>
  <c r="J33" i="9"/>
  <c r="I33" i="9"/>
  <c r="G51" i="9"/>
  <c r="T51" i="9"/>
  <c r="C12" i="3"/>
  <c r="C8" i="3"/>
  <c r="L82" i="9" l="1"/>
  <c r="L81" i="9" s="1"/>
  <c r="AC15" i="16"/>
  <c r="AB16" i="16"/>
  <c r="M61" i="9"/>
  <c r="AA61" i="9" s="1"/>
  <c r="Z61" i="9"/>
  <c r="X62" i="9"/>
  <c r="K63" i="9"/>
  <c r="X63" i="9"/>
  <c r="L54" i="9"/>
  <c r="Y54" i="9"/>
  <c r="H51" i="9"/>
  <c r="U51" i="9"/>
  <c r="P2" i="4"/>
  <c r="J2" i="4"/>
  <c r="AD15" i="16" l="1"/>
  <c r="AD16" i="16" s="1"/>
  <c r="AC16" i="16"/>
  <c r="L63" i="9"/>
  <c r="Y63" i="9"/>
  <c r="Y62" i="9"/>
  <c r="M54" i="9"/>
  <c r="AA54" i="9" s="1"/>
  <c r="Z54" i="9"/>
  <c r="I51" i="9"/>
  <c r="V51" i="9"/>
  <c r="P2" i="3"/>
  <c r="J2" i="3"/>
  <c r="P2" i="2"/>
  <c r="J2" i="2"/>
  <c r="M63" i="9" l="1"/>
  <c r="AA63" i="9" s="1"/>
  <c r="Z63" i="9"/>
  <c r="AA62" i="9"/>
  <c r="Z62" i="9"/>
  <c r="J51" i="9"/>
  <c r="W51" i="9"/>
  <c r="D2" i="6"/>
  <c r="C1" i="6"/>
  <c r="C134" i="6" s="1"/>
  <c r="D3" i="6"/>
  <c r="C190" i="6" l="1"/>
  <c r="C222" i="6"/>
  <c r="C228" i="6"/>
  <c r="C67" i="6"/>
  <c r="C147" i="1" s="1"/>
  <c r="G91" i="9" s="1"/>
  <c r="C69" i="6"/>
  <c r="C71" i="6"/>
  <c r="C73" i="6"/>
  <c r="C4" i="2" s="1"/>
  <c r="C75" i="6"/>
  <c r="D9" i="2" s="1"/>
  <c r="B80" i="2" s="1"/>
  <c r="C77" i="6"/>
  <c r="C79" i="6"/>
  <c r="C81" i="6"/>
  <c r="C83" i="6"/>
  <c r="C85" i="6"/>
  <c r="C87" i="6"/>
  <c r="C89" i="6"/>
  <c r="D25" i="2" s="1"/>
  <c r="C91" i="6"/>
  <c r="C93" i="6"/>
  <c r="C95" i="6"/>
  <c r="C97" i="6"/>
  <c r="C98" i="2" s="1"/>
  <c r="C99" i="6"/>
  <c r="C101" i="6"/>
  <c r="C103" i="6"/>
  <c r="C105" i="6"/>
  <c r="O5" i="2" s="1"/>
  <c r="C107" i="6"/>
  <c r="D4" i="15" s="1"/>
  <c r="C109" i="6"/>
  <c r="C111" i="6"/>
  <c r="C113" i="6"/>
  <c r="C115" i="6"/>
  <c r="C117" i="6"/>
  <c r="C119" i="6"/>
  <c r="C121" i="6"/>
  <c r="C123" i="6"/>
  <c r="C125" i="6"/>
  <c r="C127" i="6"/>
  <c r="C129" i="6"/>
  <c r="N51" i="3" s="1"/>
  <c r="C131" i="6"/>
  <c r="C133" i="6"/>
  <c r="C135" i="6"/>
  <c r="C137" i="6"/>
  <c r="C139" i="6"/>
  <c r="C141" i="6"/>
  <c r="C143" i="6"/>
  <c r="C145" i="6"/>
  <c r="G63" i="3" s="1"/>
  <c r="C147" i="6"/>
  <c r="C149" i="6"/>
  <c r="C151" i="6"/>
  <c r="C153" i="6"/>
  <c r="C155" i="6"/>
  <c r="C20" i="4" s="1"/>
  <c r="C157" i="6"/>
  <c r="C159" i="6"/>
  <c r="C161" i="6"/>
  <c r="O28" i="4" s="1"/>
  <c r="C163" i="6"/>
  <c r="C165" i="6"/>
  <c r="C167" i="6"/>
  <c r="C169" i="6"/>
  <c r="D7" i="15" s="1"/>
  <c r="C171" i="6"/>
  <c r="M34" i="4" s="1"/>
  <c r="B45" i="4" s="1"/>
  <c r="C173" i="6"/>
  <c r="C175" i="6"/>
  <c r="C177" i="6"/>
  <c r="C179" i="6"/>
  <c r="C8" i="16" s="1"/>
  <c r="C181" i="6"/>
  <c r="C183" i="6"/>
  <c r="C185" i="6"/>
  <c r="D10" i="16" s="1"/>
  <c r="C187" i="6"/>
  <c r="D12" i="16" s="1"/>
  <c r="C191" i="6"/>
  <c r="C193" i="6"/>
  <c r="D18" i="16" s="1"/>
  <c r="C195" i="6"/>
  <c r="D20" i="16" s="1"/>
  <c r="C197" i="6"/>
  <c r="D22" i="16" s="1"/>
  <c r="H115" i="7" s="1"/>
  <c r="C199" i="6"/>
  <c r="C201" i="6"/>
  <c r="C203" i="6"/>
  <c r="D32" i="16" s="1"/>
  <c r="C205" i="6"/>
  <c r="C207" i="6"/>
  <c r="C209" i="6"/>
  <c r="C211" i="6"/>
  <c r="E42" i="16" s="1"/>
  <c r="C213" i="6"/>
  <c r="E44" i="16" s="1"/>
  <c r="C215" i="6"/>
  <c r="C217" i="6"/>
  <c r="C219" i="6"/>
  <c r="C223" i="6"/>
  <c r="C225" i="6"/>
  <c r="C229" i="6"/>
  <c r="C189" i="6"/>
  <c r="D15" i="16" s="1"/>
  <c r="C221" i="6"/>
  <c r="C227" i="6"/>
  <c r="C66" i="6"/>
  <c r="C149" i="1" s="1"/>
  <c r="G93" i="9" s="1"/>
  <c r="C68" i="6"/>
  <c r="C148" i="1" s="1"/>
  <c r="G92" i="9" s="1"/>
  <c r="C70" i="6"/>
  <c r="C146" i="1" s="1"/>
  <c r="G90" i="9" s="1"/>
  <c r="C72" i="6"/>
  <c r="C74" i="6"/>
  <c r="D7" i="2" s="1"/>
  <c r="B76" i="2" s="1"/>
  <c r="C76" i="6"/>
  <c r="D11" i="2" s="1"/>
  <c r="B84" i="2" s="1"/>
  <c r="C78" i="6"/>
  <c r="D15" i="2" s="1"/>
  <c r="B92" i="2" s="1"/>
  <c r="C80" i="6"/>
  <c r="C82" i="6"/>
  <c r="C84" i="6"/>
  <c r="C86" i="6"/>
  <c r="C106" i="2" s="1"/>
  <c r="C88" i="6"/>
  <c r="C90" i="6"/>
  <c r="D27" i="2" s="1"/>
  <c r="C92" i="6"/>
  <c r="D43" i="3" s="1"/>
  <c r="C94" i="6"/>
  <c r="C96" i="6"/>
  <c r="C98" i="6"/>
  <c r="C100" i="6"/>
  <c r="C93" i="2" s="1"/>
  <c r="C102" i="6"/>
  <c r="C104" i="6"/>
  <c r="C106" i="6"/>
  <c r="D3" i="15" s="1"/>
  <c r="C108" i="6"/>
  <c r="D5" i="15" s="1"/>
  <c r="C110" i="6"/>
  <c r="C4" i="3" s="1"/>
  <c r="C112" i="6"/>
  <c r="C114" i="6"/>
  <c r="C116" i="6"/>
  <c r="C118" i="6"/>
  <c r="C58" i="3" s="1"/>
  <c r="C120" i="6"/>
  <c r="N20" i="3" s="1"/>
  <c r="C122" i="6"/>
  <c r="N40" i="3" s="1"/>
  <c r="N42" i="3" s="1"/>
  <c r="C124" i="6"/>
  <c r="C126" i="6"/>
  <c r="K53" i="3" s="1"/>
  <c r="C128" i="6"/>
  <c r="N49" i="3" s="1"/>
  <c r="C130" i="6"/>
  <c r="C132" i="6"/>
  <c r="C136" i="6"/>
  <c r="C138" i="6"/>
  <c r="C140" i="6"/>
  <c r="C142" i="6"/>
  <c r="L54" i="2" s="1"/>
  <c r="L50" i="2" s="1"/>
  <c r="C144" i="6"/>
  <c r="N61" i="3" s="1"/>
  <c r="C146" i="6"/>
  <c r="C148" i="6"/>
  <c r="D96" i="7" s="1"/>
  <c r="C150" i="6"/>
  <c r="D2" i="15" s="1"/>
  <c r="C152" i="6"/>
  <c r="B96" i="9" s="1"/>
  <c r="C154" i="6"/>
  <c r="C18" i="4" s="1"/>
  <c r="C156" i="6"/>
  <c r="C22" i="4" s="1"/>
  <c r="C158" i="6"/>
  <c r="C160" i="6"/>
  <c r="C162" i="6"/>
  <c r="C164" i="6"/>
  <c r="C166" i="6"/>
  <c r="C168" i="6"/>
  <c r="C170" i="6"/>
  <c r="B12" i="15" s="1"/>
  <c r="C172" i="6"/>
  <c r="O54" i="2" s="1"/>
  <c r="C174" i="6"/>
  <c r="C32" i="4" s="1"/>
  <c r="C176" i="6"/>
  <c r="C178" i="6"/>
  <c r="M2" i="16" s="1"/>
  <c r="C180" i="6"/>
  <c r="C12" i="16" s="1"/>
  <c r="C182" i="6"/>
  <c r="J27" i="16" s="1"/>
  <c r="C184" i="6"/>
  <c r="D9" i="16" s="1"/>
  <c r="C186" i="6"/>
  <c r="C188" i="6"/>
  <c r="D13" i="16" s="1"/>
  <c r="C192" i="6"/>
  <c r="D17" i="16" s="1"/>
  <c r="C194" i="6"/>
  <c r="C196" i="6"/>
  <c r="C198" i="6"/>
  <c r="C200" i="6"/>
  <c r="D25" i="16" s="1"/>
  <c r="C202" i="6"/>
  <c r="D31" i="16" s="1"/>
  <c r="C204" i="6"/>
  <c r="D33" i="16" s="1"/>
  <c r="C206" i="6"/>
  <c r="C208" i="6"/>
  <c r="C210" i="6"/>
  <c r="E41" i="16" s="1"/>
  <c r="C212" i="6"/>
  <c r="E43" i="16" s="1"/>
  <c r="C214" i="6"/>
  <c r="C216" i="6"/>
  <c r="C218" i="6"/>
  <c r="C220" i="6"/>
  <c r="C224" i="6"/>
  <c r="C226" i="6"/>
  <c r="L24" i="9"/>
  <c r="L23" i="9"/>
  <c r="K5" i="16"/>
  <c r="C65" i="6"/>
  <c r="F89" i="9" s="1"/>
  <c r="G61" i="3"/>
  <c r="C62" i="6"/>
  <c r="C46" i="1" s="1"/>
  <c r="C60" i="1" s="1"/>
  <c r="C64" i="6"/>
  <c r="N64" i="1"/>
  <c r="C94" i="2"/>
  <c r="C60" i="6"/>
  <c r="H42" i="1" s="1"/>
  <c r="D6" i="15"/>
  <c r="C61" i="6"/>
  <c r="H69" i="1" s="1"/>
  <c r="B89" i="9" s="1"/>
  <c r="C63" i="6"/>
  <c r="D19" i="2"/>
  <c r="B100" i="2" s="1"/>
  <c r="D14" i="16"/>
  <c r="D24" i="16"/>
  <c r="H130" i="7" s="1"/>
  <c r="D16" i="16"/>
  <c r="D8" i="16"/>
  <c r="C10" i="6"/>
  <c r="C18" i="6"/>
  <c r="C26" i="6"/>
  <c r="C34" i="6"/>
  <c r="F8" i="1" s="1"/>
  <c r="C42" i="6"/>
  <c r="C50" i="6"/>
  <c r="D27" i="1" s="1"/>
  <c r="C58" i="6"/>
  <c r="D13" i="2"/>
  <c r="C105" i="2"/>
  <c r="C17" i="3"/>
  <c r="N45" i="3"/>
  <c r="N47" i="3" s="1"/>
  <c r="C7" i="6"/>
  <c r="O55" i="9" s="1"/>
  <c r="O57" i="9" s="1"/>
  <c r="O59" i="9" s="1"/>
  <c r="C15" i="6"/>
  <c r="C23" i="6"/>
  <c r="C31" i="6"/>
  <c r="C19" i="1" s="1"/>
  <c r="C39" i="6"/>
  <c r="B91" i="1" s="1"/>
  <c r="C47" i="6"/>
  <c r="Y8" i="9" s="1"/>
  <c r="C55" i="6"/>
  <c r="K31" i="1" s="1"/>
  <c r="C14" i="6"/>
  <c r="C46" i="6"/>
  <c r="X8" i="9" s="1"/>
  <c r="C11" i="6"/>
  <c r="C43" i="6"/>
  <c r="C4" i="6"/>
  <c r="K97" i="7" s="1"/>
  <c r="C12" i="6"/>
  <c r="C20" i="6"/>
  <c r="C28" i="6"/>
  <c r="L42" i="1" s="1"/>
  <c r="C36" i="6"/>
  <c r="F14" i="1" s="1"/>
  <c r="C44" i="6"/>
  <c r="C52" i="6"/>
  <c r="N50" i="1"/>
  <c r="K55" i="3"/>
  <c r="C9" i="6"/>
  <c r="AA16" i="9" s="1"/>
  <c r="C17" i="6"/>
  <c r="C25" i="6"/>
  <c r="C33" i="6"/>
  <c r="F6" i="1" s="1"/>
  <c r="C41" i="6"/>
  <c r="C49" i="6"/>
  <c r="C21" i="1" s="1"/>
  <c r="C57" i="6"/>
  <c r="N33" i="1" s="1"/>
  <c r="I54" i="2"/>
  <c r="I50" i="2" s="1"/>
  <c r="C24" i="4"/>
  <c r="C16" i="4"/>
  <c r="B44" i="4" s="1"/>
  <c r="C22" i="6"/>
  <c r="C54" i="6"/>
  <c r="L2" i="9" s="1"/>
  <c r="C27" i="6"/>
  <c r="C51" i="6"/>
  <c r="H27" i="1" s="1"/>
  <c r="C54" i="2"/>
  <c r="D40" i="16"/>
  <c r="D30" i="16"/>
  <c r="C8" i="6"/>
  <c r="C16" i="6"/>
  <c r="C24" i="6"/>
  <c r="C32" i="6"/>
  <c r="C4" i="1" s="1"/>
  <c r="C40" i="6"/>
  <c r="C48" i="6"/>
  <c r="C56" i="6"/>
  <c r="C5" i="6"/>
  <c r="O62" i="9" s="1"/>
  <c r="C13" i="6"/>
  <c r="C21" i="6"/>
  <c r="C29" i="6"/>
  <c r="C37" i="6"/>
  <c r="F16" i="1" s="1"/>
  <c r="C45" i="6"/>
  <c r="W8" i="9" s="1"/>
  <c r="C53" i="6"/>
  <c r="B2" i="9" s="1"/>
  <c r="G2" i="9" s="1"/>
  <c r="N77" i="1"/>
  <c r="D23" i="2"/>
  <c r="C97" i="2"/>
  <c r="C6" i="6"/>
  <c r="F37" i="1" s="1"/>
  <c r="C30" i="6"/>
  <c r="C38" i="6"/>
  <c r="F12" i="1" s="1"/>
  <c r="C19" i="6"/>
  <c r="P45" i="3" s="1"/>
  <c r="P47" i="3" s="1"/>
  <c r="C35" i="6"/>
  <c r="F10" i="1" s="1"/>
  <c r="C59" i="6"/>
  <c r="C67" i="1" s="1"/>
  <c r="G14" i="15"/>
  <c r="B11" i="15"/>
  <c r="I97" i="7"/>
  <c r="D13" i="15"/>
  <c r="I99" i="7"/>
  <c r="I100" i="7"/>
  <c r="K51" i="9"/>
  <c r="X51" i="9"/>
  <c r="C3" i="6"/>
  <c r="X39" i="7" l="1"/>
  <c r="X36" i="7"/>
  <c r="X37" i="7"/>
  <c r="X41" i="7"/>
  <c r="X45" i="7"/>
  <c r="X43" i="7"/>
  <c r="X40" i="7"/>
  <c r="X44" i="7"/>
  <c r="X38" i="7"/>
  <c r="X42" i="7"/>
  <c r="X46" i="7"/>
  <c r="X35" i="7"/>
  <c r="X47" i="7"/>
  <c r="X34" i="7"/>
  <c r="K64" i="7"/>
  <c r="K63" i="7"/>
  <c r="C49" i="2"/>
  <c r="F73" i="9"/>
  <c r="B73" i="9"/>
  <c r="C56" i="1"/>
  <c r="P53" i="3"/>
  <c r="O89" i="9"/>
  <c r="F74" i="9"/>
  <c r="C40" i="1"/>
  <c r="C42" i="1"/>
  <c r="I161" i="1"/>
  <c r="I153" i="1"/>
  <c r="I166" i="1"/>
  <c r="I165" i="1"/>
  <c r="I163" i="1"/>
  <c r="I162" i="1"/>
  <c r="I160" i="1"/>
  <c r="I159" i="1"/>
  <c r="I158" i="1"/>
  <c r="I157" i="1"/>
  <c r="I155" i="1"/>
  <c r="I154" i="1"/>
  <c r="I152" i="1"/>
  <c r="I164" i="1"/>
  <c r="I156" i="1"/>
  <c r="B80" i="9"/>
  <c r="F80" i="9" s="1"/>
  <c r="H56" i="1"/>
  <c r="B81" i="9"/>
  <c r="L56" i="1"/>
  <c r="F81" i="9" s="1"/>
  <c r="C101" i="2"/>
  <c r="C103" i="2"/>
  <c r="C104" i="2"/>
  <c r="C102" i="2"/>
  <c r="D21" i="2"/>
  <c r="D17" i="2"/>
  <c r="B96" i="2" s="1"/>
  <c r="B99" i="1"/>
  <c r="C2" i="9"/>
  <c r="H2" i="9" s="1"/>
  <c r="H31" i="1"/>
  <c r="L65" i="3"/>
  <c r="O64" i="9"/>
  <c r="O70" i="9" s="1"/>
  <c r="O75" i="9" s="1"/>
  <c r="O73" i="9" s="1"/>
  <c r="E29" i="8"/>
  <c r="E27" i="8"/>
  <c r="C4" i="4"/>
  <c r="C26" i="4"/>
  <c r="D14" i="15"/>
  <c r="C14" i="4"/>
  <c r="M28" i="4"/>
  <c r="C69" i="2"/>
  <c r="C70" i="2"/>
  <c r="C68" i="2"/>
  <c r="E46" i="16"/>
  <c r="E45" i="16"/>
  <c r="D45" i="16"/>
  <c r="D35" i="16"/>
  <c r="D46" i="16"/>
  <c r="D37" i="16"/>
  <c r="D19" i="16"/>
  <c r="H106" i="7" s="1"/>
  <c r="H121" i="7" s="1"/>
  <c r="D42" i="16"/>
  <c r="D44" i="16"/>
  <c r="D23" i="16"/>
  <c r="H123" i="7" s="1"/>
  <c r="M36" i="4"/>
  <c r="B13" i="15"/>
  <c r="D43" i="16"/>
  <c r="D21" i="16"/>
  <c r="H107" i="7" s="1"/>
  <c r="H122" i="7" s="1"/>
  <c r="D11" i="16"/>
  <c r="H105" i="7" s="1"/>
  <c r="G109" i="7" s="1"/>
  <c r="D41" i="16"/>
  <c r="O34" i="4"/>
  <c r="B14" i="15"/>
  <c r="L44" i="2"/>
  <c r="C8" i="4"/>
  <c r="C38" i="4"/>
  <c r="C28" i="4"/>
  <c r="D9" i="15"/>
  <c r="L42" i="2"/>
  <c r="D8" i="15"/>
  <c r="C34" i="4"/>
  <c r="N46" i="2"/>
  <c r="L40" i="2"/>
  <c r="Q20" i="9"/>
  <c r="O20" i="9" s="1"/>
  <c r="O25" i="9" s="1"/>
  <c r="P61" i="3"/>
  <c r="E32" i="7"/>
  <c r="H15" i="7"/>
  <c r="H16" i="7" s="1"/>
  <c r="P70" i="7"/>
  <c r="Y4" i="9" s="1"/>
  <c r="K59" i="7"/>
  <c r="F5" i="7"/>
  <c r="C141" i="1" s="1"/>
  <c r="C142" i="1" s="1"/>
  <c r="O82" i="7"/>
  <c r="D6" i="7"/>
  <c r="F14" i="7"/>
  <c r="G133" i="1" s="1"/>
  <c r="D42" i="3"/>
  <c r="D29" i="2"/>
  <c r="C12" i="4"/>
  <c r="D2" i="9"/>
  <c r="M2" i="9"/>
  <c r="P2" i="9" s="1"/>
  <c r="C10" i="4"/>
  <c r="I60" i="7"/>
  <c r="N3" i="7"/>
  <c r="M3" i="7"/>
  <c r="P103" i="9"/>
  <c r="K10" i="4"/>
  <c r="K12" i="4" s="1"/>
  <c r="K14" i="4" s="1"/>
  <c r="F15" i="7"/>
  <c r="G134" i="1" s="1"/>
  <c r="F16" i="7"/>
  <c r="G135" i="1" s="1"/>
  <c r="B145" i="1"/>
  <c r="C50" i="1"/>
  <c r="I61" i="7"/>
  <c r="I126" i="1"/>
  <c r="I130" i="1"/>
  <c r="I134" i="1"/>
  <c r="I138" i="1"/>
  <c r="I127" i="1"/>
  <c r="I131" i="1"/>
  <c r="I135" i="1"/>
  <c r="I124" i="1"/>
  <c r="I128" i="1"/>
  <c r="I132" i="1"/>
  <c r="I136" i="1"/>
  <c r="I125" i="1"/>
  <c r="I129" i="1"/>
  <c r="I133" i="1"/>
  <c r="I137" i="1"/>
  <c r="D31" i="1"/>
  <c r="O51" i="9"/>
  <c r="J15" i="7"/>
  <c r="J16" i="7" s="1"/>
  <c r="L15" i="7"/>
  <c r="O54" i="9"/>
  <c r="O63" i="9"/>
  <c r="O56" i="9"/>
  <c r="O58" i="9" s="1"/>
  <c r="O60" i="9" s="1"/>
  <c r="O50" i="9"/>
  <c r="H81" i="7"/>
  <c r="B19" i="9"/>
  <c r="O53" i="9"/>
  <c r="C93" i="1"/>
  <c r="C95" i="1"/>
  <c r="O84" i="7"/>
  <c r="O61" i="9" s="1"/>
  <c r="C101" i="1"/>
  <c r="C92" i="1"/>
  <c r="C94" i="1"/>
  <c r="L51" i="9"/>
  <c r="Y51" i="9"/>
  <c r="O52" i="9"/>
  <c r="Y76" i="7"/>
  <c r="P73" i="7"/>
  <c r="Y75" i="7"/>
  <c r="P74" i="7"/>
  <c r="Y74" i="7"/>
  <c r="P75" i="7"/>
  <c r="Y78" i="7"/>
  <c r="Y73" i="7"/>
  <c r="P76" i="7"/>
  <c r="G16" i="9"/>
  <c r="K16" i="9"/>
  <c r="O10" i="9"/>
  <c r="D37" i="2"/>
  <c r="D35" i="2"/>
  <c r="C81" i="2"/>
  <c r="C77" i="2"/>
  <c r="C86" i="2"/>
  <c r="C90" i="2"/>
  <c r="C100" i="1"/>
  <c r="C85" i="2"/>
  <c r="C89" i="2"/>
  <c r="C82" i="2"/>
  <c r="C78" i="2"/>
  <c r="H35" i="1"/>
  <c r="D26" i="3"/>
  <c r="B88" i="2"/>
  <c r="M33" i="1"/>
  <c r="D33" i="2"/>
  <c r="D47" i="3" s="1"/>
  <c r="D31" i="2"/>
  <c r="F6" i="7"/>
  <c r="G125" i="1" s="1"/>
  <c r="K71" i="1"/>
  <c r="C102" i="1"/>
  <c r="P26" i="3"/>
  <c r="J16" i="9"/>
  <c r="E16" i="9"/>
  <c r="Y16" i="9"/>
  <c r="K10" i="9"/>
  <c r="G10" i="9"/>
  <c r="E10" i="9"/>
  <c r="J10" i="9"/>
  <c r="F10" i="9"/>
  <c r="I16" i="9"/>
  <c r="F16" i="9"/>
  <c r="T16" i="9"/>
  <c r="H10" i="9"/>
  <c r="L16" i="9"/>
  <c r="D16" i="9"/>
  <c r="V16" i="9"/>
  <c r="H16" i="9"/>
  <c r="M16" i="9"/>
  <c r="C16" i="9"/>
  <c r="W16" i="9"/>
  <c r="U16" i="9"/>
  <c r="I10" i="9"/>
  <c r="B16" i="9"/>
  <c r="X16" i="9"/>
  <c r="L10" i="9"/>
  <c r="K55" i="7"/>
  <c r="M10" i="9"/>
  <c r="R10" i="9"/>
  <c r="T10" i="9"/>
  <c r="Q10" i="9"/>
  <c r="P10" i="9"/>
  <c r="S10" i="9"/>
  <c r="K56" i="7"/>
  <c r="K57" i="7"/>
  <c r="U10" i="9"/>
  <c r="V10" i="9"/>
  <c r="B10" i="9"/>
  <c r="C10" i="9"/>
  <c r="K4" i="9"/>
  <c r="I4" i="9"/>
  <c r="D4" i="9"/>
  <c r="H4" i="9"/>
  <c r="G4" i="9"/>
  <c r="C4" i="9"/>
  <c r="B4" i="9"/>
  <c r="Q13" i="2"/>
  <c r="D35" i="1"/>
  <c r="I2" i="9"/>
  <c r="K21" i="1"/>
  <c r="B107" i="1"/>
  <c r="K25" i="1"/>
  <c r="F11" i="7"/>
  <c r="G130" i="1" s="1"/>
  <c r="F12" i="7"/>
  <c r="G131" i="1" s="1"/>
  <c r="F8" i="7"/>
  <c r="G127" i="1" s="1"/>
  <c r="F13" i="7"/>
  <c r="G132" i="1" s="1"/>
  <c r="L132" i="1" s="1"/>
  <c r="F10" i="7"/>
  <c r="G129" i="1" s="1"/>
  <c r="F7" i="7"/>
  <c r="G126" i="1" s="1"/>
  <c r="F9" i="7"/>
  <c r="G128" i="1" s="1"/>
  <c r="K23" i="1"/>
  <c r="I41" i="7"/>
  <c r="I38" i="7"/>
  <c r="I39" i="7"/>
  <c r="I36" i="7"/>
  <c r="I42" i="7"/>
  <c r="I37" i="7"/>
  <c r="I46" i="7"/>
  <c r="I44" i="7"/>
  <c r="I40" i="7"/>
  <c r="I34" i="7"/>
  <c r="I43" i="7"/>
  <c r="I45" i="7"/>
  <c r="I35" i="7"/>
  <c r="I47" i="7"/>
  <c r="L19" i="7"/>
  <c r="M138" i="1" s="1"/>
  <c r="L8" i="7"/>
  <c r="M127" i="1" s="1"/>
  <c r="L12" i="7"/>
  <c r="M131" i="1" s="1"/>
  <c r="J11" i="7"/>
  <c r="J7" i="7"/>
  <c r="L9" i="7"/>
  <c r="M128" i="1" s="1"/>
  <c r="L13" i="7"/>
  <c r="L5" i="7"/>
  <c r="M124" i="1" s="1"/>
  <c r="J10" i="7"/>
  <c r="J6" i="7"/>
  <c r="L17" i="7"/>
  <c r="M136" i="1" s="1"/>
  <c r="L6" i="7"/>
  <c r="M125" i="1" s="1"/>
  <c r="L10" i="7"/>
  <c r="M129" i="1" s="1"/>
  <c r="J13" i="7"/>
  <c r="J14" i="7" s="1"/>
  <c r="J9" i="7"/>
  <c r="J5" i="7"/>
  <c r="J56" i="2" s="1"/>
  <c r="M56" i="2" s="1"/>
  <c r="L18" i="7"/>
  <c r="M137" i="1" s="1"/>
  <c r="L7" i="7"/>
  <c r="M126" i="1" s="1"/>
  <c r="L11" i="7"/>
  <c r="M130" i="1" s="1"/>
  <c r="J12" i="7"/>
  <c r="J8" i="7"/>
  <c r="H12" i="7"/>
  <c r="K131" i="1" s="1"/>
  <c r="K159" i="1" s="1"/>
  <c r="H7" i="7"/>
  <c r="K126" i="1" s="1"/>
  <c r="K154" i="1" s="1"/>
  <c r="H11" i="7"/>
  <c r="K130" i="1" s="1"/>
  <c r="K158" i="1" s="1"/>
  <c r="H6" i="7"/>
  <c r="K125" i="1" s="1"/>
  <c r="K153" i="1" s="1"/>
  <c r="H10" i="7"/>
  <c r="K129" i="1" s="1"/>
  <c r="K157" i="1" s="1"/>
  <c r="H5" i="7"/>
  <c r="K124" i="1" s="1"/>
  <c r="K152" i="1" s="1"/>
  <c r="H9" i="7"/>
  <c r="K128" i="1" s="1"/>
  <c r="K156" i="1" s="1"/>
  <c r="H13" i="7"/>
  <c r="H8" i="7"/>
  <c r="K127" i="1" s="1"/>
  <c r="K155" i="1" s="1"/>
  <c r="D10" i="7"/>
  <c r="D8" i="7"/>
  <c r="D9" i="7"/>
  <c r="D7" i="7"/>
  <c r="F8" i="3"/>
  <c r="F9" i="3"/>
  <c r="F12" i="3"/>
  <c r="F13" i="3"/>
  <c r="D12" i="3"/>
  <c r="D75" i="3"/>
  <c r="D8" i="3"/>
  <c r="D74" i="3"/>
  <c r="C6" i="4" s="1"/>
  <c r="B18" i="5"/>
  <c r="B18" i="8"/>
  <c r="G67" i="3"/>
  <c r="N24" i="3"/>
  <c r="N30" i="3"/>
  <c r="N28" i="3"/>
  <c r="N22" i="3"/>
  <c r="N26" i="3" s="1"/>
  <c r="M42" i="1"/>
  <c r="M56" i="1" s="1"/>
  <c r="M69" i="1"/>
  <c r="G65" i="3"/>
  <c r="P77" i="1"/>
  <c r="R98" i="9" s="1"/>
  <c r="P50" i="1"/>
  <c r="O88" i="9" s="1"/>
  <c r="D49" i="3"/>
  <c r="D51" i="3"/>
  <c r="L69" i="1"/>
  <c r="B90" i="9" s="1"/>
  <c r="Q42" i="2"/>
  <c r="Q17" i="2"/>
  <c r="Q44" i="2"/>
  <c r="Q23" i="2"/>
  <c r="P46" i="1"/>
  <c r="P60" i="1" s="1"/>
  <c r="P44" i="1"/>
  <c r="P58" i="1" s="1"/>
  <c r="Q35" i="2"/>
  <c r="Q27" i="2"/>
  <c r="Q9" i="2"/>
  <c r="P73" i="1"/>
  <c r="Q31" i="2"/>
  <c r="Q33" i="2" s="1"/>
  <c r="Q37" i="2"/>
  <c r="P71" i="1"/>
  <c r="Q46" i="2"/>
  <c r="K8" i="4"/>
  <c r="P48" i="1"/>
  <c r="P62" i="1" s="1"/>
  <c r="Q21" i="2"/>
  <c r="Q29" i="2"/>
  <c r="Q25" i="2"/>
  <c r="P75" i="1"/>
  <c r="Q15" i="2"/>
  <c r="Q7" i="2"/>
  <c r="Q19" i="2"/>
  <c r="Q11" i="2"/>
  <c r="Q40" i="2"/>
  <c r="O12" i="4"/>
  <c r="J33" i="1"/>
  <c r="F33" i="1"/>
  <c r="P24" i="3"/>
  <c r="P30" i="3"/>
  <c r="P20" i="3"/>
  <c r="P22" i="3"/>
  <c r="P28" i="3"/>
  <c r="F29" i="1"/>
  <c r="O92" i="9" l="1"/>
  <c r="O93" i="9" s="1"/>
  <c r="O90" i="9"/>
  <c r="G154" i="1"/>
  <c r="L126" i="1"/>
  <c r="N126" i="1" s="1"/>
  <c r="O58" i="2" s="1"/>
  <c r="G159" i="1"/>
  <c r="L131" i="1"/>
  <c r="N131" i="1" s="1"/>
  <c r="O63" i="2" s="1"/>
  <c r="G162" i="1"/>
  <c r="L134" i="1"/>
  <c r="N134" i="1" s="1"/>
  <c r="O66" i="2" s="1"/>
  <c r="G161" i="1"/>
  <c r="L133" i="1"/>
  <c r="N133" i="1" s="1"/>
  <c r="O65" i="2" s="1"/>
  <c r="G157" i="1"/>
  <c r="L129" i="1"/>
  <c r="N129" i="1" s="1"/>
  <c r="O61" i="2" s="1"/>
  <c r="G158" i="1"/>
  <c r="L130" i="1"/>
  <c r="N130" i="1" s="1"/>
  <c r="O62" i="2" s="1"/>
  <c r="L136" i="1"/>
  <c r="N136" i="1" s="1"/>
  <c r="O68" i="2" s="1"/>
  <c r="L137" i="1"/>
  <c r="N137" i="1" s="1"/>
  <c r="O69" i="2" s="1"/>
  <c r="L138" i="1"/>
  <c r="N138" i="1" s="1"/>
  <c r="O70" i="2" s="1"/>
  <c r="G156" i="1"/>
  <c r="L128" i="1"/>
  <c r="N128" i="1" s="1"/>
  <c r="O60" i="2" s="1"/>
  <c r="G155" i="1"/>
  <c r="L127" i="1"/>
  <c r="G153" i="1"/>
  <c r="L125" i="1"/>
  <c r="N125" i="1" s="1"/>
  <c r="O57" i="2" s="1"/>
  <c r="G163" i="1"/>
  <c r="L135" i="1"/>
  <c r="N135" i="1" s="1"/>
  <c r="O67" i="2" s="1"/>
  <c r="I52" i="2"/>
  <c r="R99" i="9" s="1"/>
  <c r="C169" i="1"/>
  <c r="F78" i="9"/>
  <c r="M79" i="9" s="1"/>
  <c r="M80" i="9" s="1"/>
  <c r="O84" i="9"/>
  <c r="O85" i="9" s="1"/>
  <c r="O86" i="9" s="1"/>
  <c r="O87" i="9" s="1"/>
  <c r="O82" i="9"/>
  <c r="O81" i="9"/>
  <c r="G74" i="9"/>
  <c r="N156" i="1"/>
  <c r="N155" i="1"/>
  <c r="N153" i="1"/>
  <c r="N154" i="1"/>
  <c r="N159" i="1"/>
  <c r="N163" i="1"/>
  <c r="N157" i="1"/>
  <c r="N158" i="1"/>
  <c r="N165" i="1"/>
  <c r="N164" i="1"/>
  <c r="N166" i="1"/>
  <c r="K44" i="1"/>
  <c r="C81" i="9" s="1"/>
  <c r="N162" i="1"/>
  <c r="N161" i="1"/>
  <c r="O127" i="1"/>
  <c r="M155" i="1"/>
  <c r="O155" i="1" s="1"/>
  <c r="N132" i="1"/>
  <c r="O64" i="2" s="1"/>
  <c r="G160" i="1"/>
  <c r="N160" i="1" s="1"/>
  <c r="O129" i="1"/>
  <c r="M157" i="1"/>
  <c r="O157" i="1" s="1"/>
  <c r="O138" i="1"/>
  <c r="M166" i="1"/>
  <c r="O166" i="1" s="1"/>
  <c r="O125" i="1"/>
  <c r="M153" i="1"/>
  <c r="O153" i="1" s="1"/>
  <c r="O124" i="1"/>
  <c r="P56" i="2" s="1"/>
  <c r="P57" i="2" s="1"/>
  <c r="P58" i="2" s="1"/>
  <c r="P59" i="2" s="1"/>
  <c r="P60" i="2" s="1"/>
  <c r="P61" i="2" s="1"/>
  <c r="P62" i="2" s="1"/>
  <c r="P63" i="2" s="1"/>
  <c r="P64" i="2" s="1"/>
  <c r="P65" i="2" s="1"/>
  <c r="P66" i="2" s="1"/>
  <c r="P67" i="2" s="1"/>
  <c r="P68" i="2" s="1"/>
  <c r="P69" i="2" s="1"/>
  <c r="P70" i="2" s="1"/>
  <c r="M152" i="1"/>
  <c r="O152" i="1" s="1"/>
  <c r="O126" i="1"/>
  <c r="M154" i="1"/>
  <c r="O154" i="1" s="1"/>
  <c r="O128" i="1"/>
  <c r="M156" i="1"/>
  <c r="O156" i="1" s="1"/>
  <c r="O137" i="1"/>
  <c r="M165" i="1"/>
  <c r="O165" i="1" s="1"/>
  <c r="O130" i="1"/>
  <c r="M158" i="1"/>
  <c r="O158" i="1" s="1"/>
  <c r="O136" i="1"/>
  <c r="M164" i="1"/>
  <c r="O164" i="1" s="1"/>
  <c r="O131" i="1"/>
  <c r="M159" i="1"/>
  <c r="O159" i="1" s="1"/>
  <c r="P64" i="1"/>
  <c r="H120" i="7"/>
  <c r="K75" i="3"/>
  <c r="K74" i="3"/>
  <c r="J16" i="4"/>
  <c r="I44" i="4" s="1"/>
  <c r="K44" i="4" s="1"/>
  <c r="I45" i="4"/>
  <c r="K45" i="4" s="1"/>
  <c r="N127" i="1"/>
  <c r="O59" i="2" s="1"/>
  <c r="J52" i="2"/>
  <c r="M52" i="2" s="1"/>
  <c r="J65" i="2"/>
  <c r="M65" i="2" s="1"/>
  <c r="J63" i="2"/>
  <c r="M63" i="2" s="1"/>
  <c r="J64" i="2"/>
  <c r="M64" i="2" s="1"/>
  <c r="J62" i="2"/>
  <c r="M62" i="2" s="1"/>
  <c r="J66" i="2"/>
  <c r="M66" i="2" s="1"/>
  <c r="J67" i="2"/>
  <c r="M67" i="2" s="1"/>
  <c r="K135" i="1"/>
  <c r="K163" i="1" s="1"/>
  <c r="H17" i="7"/>
  <c r="C126" i="1"/>
  <c r="C154" i="1" s="1"/>
  <c r="C58" i="2"/>
  <c r="C128" i="1"/>
  <c r="C156" i="1" s="1"/>
  <c r="C60" i="2"/>
  <c r="C129" i="1"/>
  <c r="C157" i="1" s="1"/>
  <c r="C61" i="2"/>
  <c r="C125" i="1"/>
  <c r="C153" i="1" s="1"/>
  <c r="C57" i="2"/>
  <c r="C127" i="1"/>
  <c r="C155" i="1" s="1"/>
  <c r="C59" i="2"/>
  <c r="K38" i="4"/>
  <c r="K34" i="4" s="1"/>
  <c r="L67" i="3"/>
  <c r="J61" i="3"/>
  <c r="J63" i="3" s="1"/>
  <c r="K134" i="1"/>
  <c r="K162" i="1" s="1"/>
  <c r="G124" i="1"/>
  <c r="L124" i="1" s="1"/>
  <c r="K80" i="7"/>
  <c r="O83" i="7"/>
  <c r="I80" i="7"/>
  <c r="J80" i="7"/>
  <c r="L80" i="7"/>
  <c r="C90" i="9"/>
  <c r="B98" i="9" s="1"/>
  <c r="D98" i="9" s="1"/>
  <c r="G98" i="9" s="1"/>
  <c r="L14" i="7"/>
  <c r="M133" i="1" s="1"/>
  <c r="M132" i="1"/>
  <c r="L16" i="7"/>
  <c r="M135" i="1" s="1"/>
  <c r="M134" i="1"/>
  <c r="H14" i="7"/>
  <c r="K133" i="1" s="1"/>
  <c r="K161" i="1" s="1"/>
  <c r="K132" i="1"/>
  <c r="K160" i="1" s="1"/>
  <c r="K75" i="1"/>
  <c r="O71" i="9"/>
  <c r="O65" i="9"/>
  <c r="B22" i="9"/>
  <c r="B23" i="9"/>
  <c r="B20" i="9"/>
  <c r="B21" i="9"/>
  <c r="X10" i="9"/>
  <c r="X11" i="9" s="1"/>
  <c r="M51" i="9"/>
  <c r="AA51" i="9" s="1"/>
  <c r="Z51" i="9"/>
  <c r="K73" i="1"/>
  <c r="Y10" i="9"/>
  <c r="Y11" i="9" s="1"/>
  <c r="W10" i="9"/>
  <c r="W11" i="9" s="1"/>
  <c r="P55" i="3"/>
  <c r="P65" i="3"/>
  <c r="P67" i="3" s="1"/>
  <c r="M84" i="9" l="1"/>
  <c r="M82" i="9" s="1"/>
  <c r="M81" i="9" s="1"/>
  <c r="M75" i="9" s="1"/>
  <c r="K58" i="1"/>
  <c r="C170" i="1"/>
  <c r="K46" i="1"/>
  <c r="K48" i="1"/>
  <c r="O132" i="1"/>
  <c r="M160" i="1"/>
  <c r="O160" i="1" s="1"/>
  <c r="N124" i="1"/>
  <c r="G152" i="1"/>
  <c r="N152" i="1" s="1"/>
  <c r="M88" i="9" s="1"/>
  <c r="O134" i="1"/>
  <c r="M162" i="1"/>
  <c r="O162" i="1" s="1"/>
  <c r="O133" i="1"/>
  <c r="M161" i="1"/>
  <c r="O161" i="1" s="1"/>
  <c r="O135" i="1"/>
  <c r="M163" i="1"/>
  <c r="O163" i="1" s="1"/>
  <c r="K11" i="9"/>
  <c r="L11" i="9" s="1"/>
  <c r="I63" i="2"/>
  <c r="I65" i="2"/>
  <c r="I64" i="2"/>
  <c r="I66" i="2"/>
  <c r="I67" i="2"/>
  <c r="I62" i="2"/>
  <c r="H18" i="7"/>
  <c r="K136" i="1"/>
  <c r="K164" i="1" s="1"/>
  <c r="I59" i="2"/>
  <c r="J59" i="2"/>
  <c r="M59" i="2" s="1"/>
  <c r="J61" i="2"/>
  <c r="M61" i="2" s="1"/>
  <c r="I61" i="2"/>
  <c r="I58" i="2"/>
  <c r="J58" i="2"/>
  <c r="M58" i="2" s="1"/>
  <c r="J57" i="2"/>
  <c r="M57" i="2" s="1"/>
  <c r="I57" i="2"/>
  <c r="I60" i="2"/>
  <c r="J60" i="2"/>
  <c r="M60" i="2" s="1"/>
  <c r="K28" i="4"/>
  <c r="J98" i="9"/>
  <c r="M98" i="9" s="1"/>
  <c r="K98" i="9"/>
  <c r="G11" i="9"/>
  <c r="C34" i="3"/>
  <c r="Q77" i="9" s="1"/>
  <c r="C45" i="3"/>
  <c r="C42" i="3"/>
  <c r="C40" i="3"/>
  <c r="G99" i="9" s="1"/>
  <c r="C38" i="3"/>
  <c r="C36" i="3"/>
  <c r="C32" i="3"/>
  <c r="C30" i="3"/>
  <c r="Y18" i="9" s="1"/>
  <c r="M17" i="9" s="1"/>
  <c r="Y29" i="9" s="1"/>
  <c r="Y30" i="9" s="1"/>
  <c r="C28" i="3"/>
  <c r="C24" i="3"/>
  <c r="U18" i="9" s="1"/>
  <c r="AD22" i="9" s="1"/>
  <c r="AE22" i="9" s="1"/>
  <c r="C22" i="3"/>
  <c r="X18" i="9" s="1"/>
  <c r="AD17" i="9" s="1"/>
  <c r="AE17" i="9" s="1"/>
  <c r="C20" i="3"/>
  <c r="W18" i="9" s="1"/>
  <c r="D38" i="3"/>
  <c r="D45" i="3"/>
  <c r="D40" i="3"/>
  <c r="D36" i="3"/>
  <c r="D34" i="3"/>
  <c r="Q76" i="9" l="1"/>
  <c r="Q78" i="9"/>
  <c r="AD16" i="9"/>
  <c r="AE16" i="9" s="1"/>
  <c r="AF15" i="9"/>
  <c r="L22" i="9"/>
  <c r="T18" i="9"/>
  <c r="C17" i="9" s="1"/>
  <c r="N29" i="9" s="1"/>
  <c r="N30" i="9" s="1"/>
  <c r="AD21" i="9"/>
  <c r="AE21" i="9" s="1"/>
  <c r="AF20" i="9"/>
  <c r="AD20" i="9"/>
  <c r="AE20" i="9" s="1"/>
  <c r="M89" i="9"/>
  <c r="G81" i="9"/>
  <c r="K62" i="1"/>
  <c r="K60" i="1"/>
  <c r="C79" i="9"/>
  <c r="C78" i="9" s="1"/>
  <c r="G79" i="9"/>
  <c r="O56" i="2"/>
  <c r="L88" i="9"/>
  <c r="L89" i="9" s="1"/>
  <c r="I56" i="2"/>
  <c r="H19" i="7"/>
  <c r="K138" i="1" s="1"/>
  <c r="K166" i="1" s="1"/>
  <c r="K137" i="1"/>
  <c r="K165" i="1" s="1"/>
  <c r="P98" i="9"/>
  <c r="N98" i="9"/>
  <c r="O98" i="9" s="1"/>
  <c r="J99" i="9"/>
  <c r="K99" i="9" s="1"/>
  <c r="M99" i="9" s="1"/>
  <c r="N99" i="9" s="1"/>
  <c r="P77" i="9"/>
  <c r="P76" i="9"/>
  <c r="P78" i="9"/>
  <c r="K22" i="9"/>
  <c r="R17" i="9"/>
  <c r="M22" i="9"/>
  <c r="J22" i="9"/>
  <c r="H11" i="9"/>
  <c r="M11" i="9" s="1"/>
  <c r="F58" i="3"/>
  <c r="F17" i="3"/>
  <c r="AG20" i="9" l="1"/>
  <c r="AF22" i="9" s="1"/>
  <c r="O17" i="9"/>
  <c r="B17" i="9" s="1"/>
  <c r="L29" i="9" s="1"/>
  <c r="L30" i="9" s="1"/>
  <c r="L17" i="9"/>
  <c r="J20" i="9" s="1"/>
  <c r="M90" i="9"/>
  <c r="P88" i="9"/>
  <c r="G78" i="9"/>
  <c r="Q79" i="9" s="1"/>
  <c r="Q88" i="9"/>
  <c r="P79" i="9"/>
  <c r="P82" i="9" s="1"/>
  <c r="P99" i="9"/>
  <c r="S99" i="9" s="1"/>
  <c r="N55" i="3" s="1"/>
  <c r="I74" i="3" s="1"/>
  <c r="I12" i="4" s="1"/>
  <c r="O46" i="2"/>
  <c r="O11" i="9"/>
  <c r="D20" i="3"/>
  <c r="D22" i="3"/>
  <c r="D24" i="3"/>
  <c r="D28" i="3"/>
  <c r="D30" i="3"/>
  <c r="D32" i="3"/>
  <c r="AH22" i="9" l="1"/>
  <c r="AF21" i="9"/>
  <c r="AF23" i="9" s="1"/>
  <c r="AG22" i="9"/>
  <c r="AJ22" i="9" s="1"/>
  <c r="F17" i="9" s="1"/>
  <c r="I29" i="9" s="1"/>
  <c r="I30" i="9" s="1"/>
  <c r="AH20" i="9"/>
  <c r="AH21" i="9"/>
  <c r="P17" i="9"/>
  <c r="AG21" i="9"/>
  <c r="AG23" i="9" s="1"/>
  <c r="K20" i="9"/>
  <c r="B57" i="9" s="1"/>
  <c r="W29" i="9"/>
  <c r="W30" i="9" s="1"/>
  <c r="L20" i="9"/>
  <c r="B59" i="9" s="1"/>
  <c r="C59" i="9" s="1"/>
  <c r="D59" i="9" s="1"/>
  <c r="M20" i="9"/>
  <c r="AD15" i="9"/>
  <c r="AE15" i="9" s="1"/>
  <c r="AG15" i="9" s="1"/>
  <c r="Q80" i="9"/>
  <c r="Q82" i="9"/>
  <c r="P80" i="9"/>
  <c r="G8" i="18"/>
  <c r="G14" i="18" s="1"/>
  <c r="J8" i="18"/>
  <c r="J14" i="18" s="1"/>
  <c r="Z8" i="18"/>
  <c r="Z14" i="18" s="1"/>
  <c r="T8" i="18"/>
  <c r="T14" i="18" s="1"/>
  <c r="N8" i="18"/>
  <c r="N14" i="18" s="1"/>
  <c r="V8" i="18"/>
  <c r="V14" i="18" s="1"/>
  <c r="X8" i="18"/>
  <c r="X14" i="18" s="1"/>
  <c r="I8" i="18"/>
  <c r="I14" i="18" s="1"/>
  <c r="Y8" i="18"/>
  <c r="Y14" i="18" s="1"/>
  <c r="R8" i="18"/>
  <c r="R14" i="18" s="1"/>
  <c r="W8" i="18"/>
  <c r="W14" i="18" s="1"/>
  <c r="O8" i="18"/>
  <c r="O14" i="18" s="1"/>
  <c r="K8" i="18"/>
  <c r="K14" i="18" s="1"/>
  <c r="Q8" i="18"/>
  <c r="Q14" i="18" s="1"/>
  <c r="P8" i="18"/>
  <c r="P14" i="18" s="1"/>
  <c r="M8" i="18"/>
  <c r="M14" i="18" s="1"/>
  <c r="U8" i="18"/>
  <c r="U14" i="18" s="1"/>
  <c r="H8" i="18"/>
  <c r="H14" i="18" s="1"/>
  <c r="S8" i="18"/>
  <c r="S14" i="18" s="1"/>
  <c r="L8" i="18"/>
  <c r="L14" i="18" s="1"/>
  <c r="I8" i="4"/>
  <c r="E6" i="15"/>
  <c r="Q99" i="9"/>
  <c r="L55" i="3" s="1"/>
  <c r="AJ21" i="9" l="1"/>
  <c r="E17" i="9" s="1"/>
  <c r="G29" i="9" s="1"/>
  <c r="G30" i="9" s="1"/>
  <c r="AH23" i="9"/>
  <c r="P59" i="9"/>
  <c r="Q59" i="9" s="1"/>
  <c r="R59" i="9" s="1"/>
  <c r="S59" i="9" s="1"/>
  <c r="T59" i="9" s="1"/>
  <c r="U59" i="9" s="1"/>
  <c r="V59" i="9" s="1"/>
  <c r="W59" i="9" s="1"/>
  <c r="X59" i="9" s="1"/>
  <c r="Y59" i="9" s="1"/>
  <c r="Z59" i="9" s="1"/>
  <c r="AA59" i="9" s="1"/>
  <c r="P57" i="9"/>
  <c r="Q57" i="9" s="1"/>
  <c r="R57" i="9" s="1"/>
  <c r="S57" i="9" s="1"/>
  <c r="T57" i="9" s="1"/>
  <c r="U57" i="9" s="1"/>
  <c r="V57" i="9" s="1"/>
  <c r="W57" i="9" s="1"/>
  <c r="X57" i="9" s="1"/>
  <c r="Y57" i="9" s="1"/>
  <c r="Z57" i="9" s="1"/>
  <c r="AA57" i="9" s="1"/>
  <c r="B55" i="9"/>
  <c r="C55" i="9" s="1"/>
  <c r="D55" i="9" s="1"/>
  <c r="E55" i="9" s="1"/>
  <c r="P55" i="9"/>
  <c r="Q55" i="9" s="1"/>
  <c r="R55" i="9" s="1"/>
  <c r="AG16" i="9"/>
  <c r="AG17" i="9" s="1"/>
  <c r="Q17" i="9"/>
  <c r="AF16" i="9"/>
  <c r="AH17" i="9"/>
  <c r="AH16" i="9"/>
  <c r="AF17" i="9"/>
  <c r="AH15" i="9"/>
  <c r="H74" i="3"/>
  <c r="N12" i="4" s="1"/>
  <c r="G17" i="18"/>
  <c r="C21" i="18" s="1"/>
  <c r="I10" i="14"/>
  <c r="J13" i="14" s="1"/>
  <c r="C57" i="9"/>
  <c r="E59" i="9"/>
  <c r="AJ20" i="9" l="1"/>
  <c r="AJ23" i="9" s="1"/>
  <c r="P65" i="9"/>
  <c r="Q65" i="9"/>
  <c r="C65" i="9"/>
  <c r="B65" i="9"/>
  <c r="AG18" i="9"/>
  <c r="AH18" i="9"/>
  <c r="AF18" i="9"/>
  <c r="AJ16" i="9"/>
  <c r="I17" i="9" s="1"/>
  <c r="S29" i="9" s="1"/>
  <c r="S30" i="9" s="1"/>
  <c r="AJ17" i="9"/>
  <c r="J17" i="9" s="1"/>
  <c r="E104" i="18"/>
  <c r="E69" i="18"/>
  <c r="C68" i="18" s="1"/>
  <c r="E38" i="18"/>
  <c r="E28" i="18"/>
  <c r="E108" i="18"/>
  <c r="E74" i="18"/>
  <c r="E30" i="18"/>
  <c r="E112" i="18"/>
  <c r="E82" i="18"/>
  <c r="E54" i="18"/>
  <c r="E24" i="18"/>
  <c r="E56" i="18"/>
  <c r="E88" i="18"/>
  <c r="E36" i="18"/>
  <c r="E68" i="18"/>
  <c r="E119" i="18"/>
  <c r="E103" i="18"/>
  <c r="E87" i="18"/>
  <c r="E71" i="18"/>
  <c r="E55" i="18"/>
  <c r="E39" i="18"/>
  <c r="C38" i="18" s="1"/>
  <c r="E23" i="18"/>
  <c r="E109" i="18"/>
  <c r="E93" i="18"/>
  <c r="E77" i="18"/>
  <c r="C76" i="18" s="1"/>
  <c r="E61" i="18"/>
  <c r="E45" i="18"/>
  <c r="E33" i="18"/>
  <c r="E114" i="18"/>
  <c r="C113" i="18" s="1"/>
  <c r="E98" i="18"/>
  <c r="E26" i="18"/>
  <c r="E90" i="18"/>
  <c r="E46" i="18"/>
  <c r="C45" i="18" s="1"/>
  <c r="E34" i="18"/>
  <c r="C33" i="18" s="1"/>
  <c r="E120" i="18"/>
  <c r="E70" i="18"/>
  <c r="E32" i="18"/>
  <c r="C31" i="18" s="1"/>
  <c r="E64" i="18"/>
  <c r="E100" i="18"/>
  <c r="E44" i="18"/>
  <c r="E76" i="18"/>
  <c r="E115" i="18"/>
  <c r="E99" i="18"/>
  <c r="E83" i="18"/>
  <c r="E67" i="18"/>
  <c r="E51" i="18"/>
  <c r="E35" i="18"/>
  <c r="E121" i="18"/>
  <c r="E105" i="18"/>
  <c r="E89" i="18"/>
  <c r="E73" i="18"/>
  <c r="E57" i="18"/>
  <c r="E41" i="18"/>
  <c r="C40" i="18" s="1"/>
  <c r="E29" i="18"/>
  <c r="E110" i="18"/>
  <c r="E94" i="18"/>
  <c r="E42" i="18"/>
  <c r="C41" i="18" s="1"/>
  <c r="E62" i="18"/>
  <c r="E50" i="18"/>
  <c r="E22" i="18"/>
  <c r="F22" i="18" s="1"/>
  <c r="E86" i="18"/>
  <c r="E40" i="18"/>
  <c r="E72" i="18"/>
  <c r="C71" i="18" s="1"/>
  <c r="E116" i="18"/>
  <c r="E52" i="18"/>
  <c r="E84" i="18"/>
  <c r="E111" i="18"/>
  <c r="E95" i="18"/>
  <c r="E79" i="18"/>
  <c r="E63" i="18"/>
  <c r="E47" i="18"/>
  <c r="E31" i="18"/>
  <c r="E117" i="18"/>
  <c r="C116" i="18" s="1"/>
  <c r="E101" i="18"/>
  <c r="E85" i="18"/>
  <c r="E53" i="18"/>
  <c r="E37" i="18"/>
  <c r="E25" i="18"/>
  <c r="E106" i="18"/>
  <c r="E58" i="18"/>
  <c r="F21" i="18"/>
  <c r="E78" i="18"/>
  <c r="E66" i="18"/>
  <c r="C65" i="18" s="1"/>
  <c r="E96" i="18"/>
  <c r="E48" i="18"/>
  <c r="E80" i="18"/>
  <c r="E107" i="18"/>
  <c r="E43" i="18"/>
  <c r="E81" i="18"/>
  <c r="E118" i="18"/>
  <c r="E91" i="18"/>
  <c r="E27" i="18"/>
  <c r="E65" i="18"/>
  <c r="C64" i="18" s="1"/>
  <c r="E102" i="18"/>
  <c r="E60" i="18"/>
  <c r="E75" i="18"/>
  <c r="E113" i="18"/>
  <c r="C112" i="18" s="1"/>
  <c r="E49" i="18"/>
  <c r="C48" i="18" s="1"/>
  <c r="E92" i="18"/>
  <c r="E59" i="18"/>
  <c r="E97" i="18"/>
  <c r="F34" i="18"/>
  <c r="F66" i="18"/>
  <c r="S55" i="9"/>
  <c r="R65" i="9"/>
  <c r="D57" i="9"/>
  <c r="D65" i="9" s="1"/>
  <c r="F55" i="9"/>
  <c r="F59" i="9"/>
  <c r="D17" i="9" l="1"/>
  <c r="E29" i="9" s="1"/>
  <c r="E30" i="9" s="1"/>
  <c r="AJ15" i="9"/>
  <c r="U29" i="9"/>
  <c r="F72" i="18"/>
  <c r="F114" i="18"/>
  <c r="F42" i="18"/>
  <c r="F46" i="18"/>
  <c r="F39" i="18"/>
  <c r="F32" i="18"/>
  <c r="F77" i="18"/>
  <c r="F69" i="18"/>
  <c r="F41" i="18"/>
  <c r="F113" i="18"/>
  <c r="F118" i="18"/>
  <c r="C117" i="18"/>
  <c r="F78" i="18"/>
  <c r="C77" i="18"/>
  <c r="F101" i="18"/>
  <c r="C100" i="18"/>
  <c r="F84" i="18"/>
  <c r="C83" i="18"/>
  <c r="F62" i="18"/>
  <c r="C61" i="18"/>
  <c r="F89" i="18"/>
  <c r="C88" i="18"/>
  <c r="F115" i="18"/>
  <c r="C114" i="18"/>
  <c r="F64" i="18"/>
  <c r="C63" i="18"/>
  <c r="F98" i="18"/>
  <c r="C97" i="18"/>
  <c r="F23" i="18"/>
  <c r="C22" i="18"/>
  <c r="F36" i="18"/>
  <c r="C35" i="18"/>
  <c r="F54" i="18"/>
  <c r="C53" i="18"/>
  <c r="F49" i="18"/>
  <c r="F81" i="18"/>
  <c r="C80" i="18"/>
  <c r="F59" i="18"/>
  <c r="C58" i="18"/>
  <c r="F75" i="18"/>
  <c r="C74" i="18"/>
  <c r="F27" i="18"/>
  <c r="C26" i="18"/>
  <c r="F43" i="18"/>
  <c r="C42" i="18"/>
  <c r="F96" i="18"/>
  <c r="C95" i="18"/>
  <c r="F58" i="18"/>
  <c r="C57" i="18"/>
  <c r="F53" i="18"/>
  <c r="C52" i="18"/>
  <c r="F31" i="18"/>
  <c r="C30" i="18"/>
  <c r="F95" i="18"/>
  <c r="C94" i="18"/>
  <c r="F116" i="18"/>
  <c r="C115" i="18"/>
  <c r="F94" i="18"/>
  <c r="C93" i="18"/>
  <c r="F57" i="18"/>
  <c r="C56" i="18"/>
  <c r="F121" i="18"/>
  <c r="C120" i="18"/>
  <c r="F83" i="18"/>
  <c r="C82" i="18"/>
  <c r="F44" i="18"/>
  <c r="C43" i="18"/>
  <c r="F70" i="18"/>
  <c r="C69" i="18"/>
  <c r="F90" i="18"/>
  <c r="C89" i="18"/>
  <c r="F33" i="18"/>
  <c r="C32" i="18"/>
  <c r="F93" i="18"/>
  <c r="C92" i="18"/>
  <c r="F55" i="18"/>
  <c r="C54" i="18"/>
  <c r="F119" i="18"/>
  <c r="C118" i="18"/>
  <c r="F56" i="18"/>
  <c r="C55" i="18"/>
  <c r="F112" i="18"/>
  <c r="C111" i="18"/>
  <c r="F28" i="18"/>
  <c r="C27" i="18"/>
  <c r="F117" i="18"/>
  <c r="F65" i="18"/>
  <c r="F92" i="18"/>
  <c r="C91" i="18"/>
  <c r="F60" i="18"/>
  <c r="C59" i="18"/>
  <c r="F91" i="18"/>
  <c r="C90" i="18"/>
  <c r="F107" i="18"/>
  <c r="C106" i="18"/>
  <c r="F106" i="18"/>
  <c r="C105" i="18"/>
  <c r="F85" i="18"/>
  <c r="C84" i="18"/>
  <c r="F47" i="18"/>
  <c r="C46" i="18"/>
  <c r="F111" i="18"/>
  <c r="C110" i="18"/>
  <c r="F50" i="18"/>
  <c r="C49" i="18"/>
  <c r="F110" i="18"/>
  <c r="C109" i="18"/>
  <c r="F73" i="18"/>
  <c r="C72" i="18"/>
  <c r="F35" i="18"/>
  <c r="C34" i="18"/>
  <c r="F99" i="18"/>
  <c r="C98" i="18"/>
  <c r="F100" i="18"/>
  <c r="C99" i="18"/>
  <c r="F120" i="18"/>
  <c r="C119" i="18"/>
  <c r="F26" i="18"/>
  <c r="C25" i="18"/>
  <c r="F45" i="18"/>
  <c r="C44" i="18"/>
  <c r="F109" i="18"/>
  <c r="C108" i="18"/>
  <c r="F71" i="18"/>
  <c r="C70" i="18"/>
  <c r="F68" i="18"/>
  <c r="C67" i="18"/>
  <c r="F24" i="18"/>
  <c r="C23" i="18"/>
  <c r="F30" i="18"/>
  <c r="C29" i="18"/>
  <c r="F38" i="18"/>
  <c r="C37" i="18"/>
  <c r="F102" i="18"/>
  <c r="C101" i="18"/>
  <c r="F80" i="18"/>
  <c r="C79" i="18"/>
  <c r="F25" i="18"/>
  <c r="C24" i="18"/>
  <c r="F63" i="18"/>
  <c r="C62" i="18"/>
  <c r="F40" i="18"/>
  <c r="C39" i="18"/>
  <c r="F29" i="18"/>
  <c r="C28" i="18"/>
  <c r="F51" i="18"/>
  <c r="C50" i="18"/>
  <c r="F61" i="18"/>
  <c r="C60" i="18"/>
  <c r="F87" i="18"/>
  <c r="C86" i="18"/>
  <c r="F74" i="18"/>
  <c r="C73" i="18"/>
  <c r="F97" i="18"/>
  <c r="C96" i="18"/>
  <c r="F48" i="18"/>
  <c r="C47" i="18"/>
  <c r="F37" i="18"/>
  <c r="C36" i="18"/>
  <c r="F79" i="18"/>
  <c r="C78" i="18"/>
  <c r="F52" i="18"/>
  <c r="C51" i="18"/>
  <c r="F86" i="18"/>
  <c r="C85" i="18"/>
  <c r="F105" i="18"/>
  <c r="C104" i="18"/>
  <c r="F67" i="18"/>
  <c r="C66" i="18"/>
  <c r="F76" i="18"/>
  <c r="C75" i="18"/>
  <c r="F103" i="18"/>
  <c r="C102" i="18"/>
  <c r="F88" i="18"/>
  <c r="C87" i="18"/>
  <c r="F82" i="18"/>
  <c r="C81" i="18"/>
  <c r="F108" i="18"/>
  <c r="C107" i="18"/>
  <c r="F104" i="18"/>
  <c r="C103" i="18"/>
  <c r="T55" i="9"/>
  <c r="S65" i="9"/>
  <c r="G59" i="9"/>
  <c r="E57" i="9"/>
  <c r="E65" i="9" s="1"/>
  <c r="G55" i="9"/>
  <c r="G17" i="9" l="1"/>
  <c r="AJ18" i="9"/>
  <c r="H17" i="9"/>
  <c r="U30" i="9"/>
  <c r="U55" i="9"/>
  <c r="T65" i="9"/>
  <c r="H55" i="9"/>
  <c r="H59" i="9"/>
  <c r="F57" i="9"/>
  <c r="F65" i="9" s="1"/>
  <c r="Q29" i="9" l="1"/>
  <c r="AA17" i="9"/>
  <c r="K17" i="9"/>
  <c r="V55" i="9"/>
  <c r="U65" i="9"/>
  <c r="I59" i="9"/>
  <c r="G57" i="9"/>
  <c r="G65" i="9" s="1"/>
  <c r="I55" i="9"/>
  <c r="Q30" i="9" l="1"/>
  <c r="D30" i="9" s="1"/>
  <c r="D29" i="9"/>
  <c r="W55" i="9"/>
  <c r="V65" i="9"/>
  <c r="H57" i="9"/>
  <c r="H65" i="9" s="1"/>
  <c r="J55" i="9"/>
  <c r="J59" i="9"/>
  <c r="L50" i="9" l="1"/>
  <c r="L64" i="9" s="1"/>
  <c r="L67" i="9" s="1"/>
  <c r="L68" i="9" s="1"/>
  <c r="F50" i="9"/>
  <c r="F64" i="9" s="1"/>
  <c r="M50" i="9"/>
  <c r="M64" i="9" s="1"/>
  <c r="M67" i="9" s="1"/>
  <c r="M68" i="9" s="1"/>
  <c r="H50" i="9"/>
  <c r="H64" i="9" s="1"/>
  <c r="D50" i="9"/>
  <c r="D64" i="9" s="1"/>
  <c r="E50" i="9"/>
  <c r="E64" i="9" s="1"/>
  <c r="I50" i="9"/>
  <c r="I64" i="9" s="1"/>
  <c r="B50" i="9"/>
  <c r="B64" i="9" s="1"/>
  <c r="C50" i="9"/>
  <c r="C64" i="9" s="1"/>
  <c r="K50" i="9"/>
  <c r="K64" i="9" s="1"/>
  <c r="K67" i="9" s="1"/>
  <c r="K68" i="9" s="1"/>
  <c r="G50" i="9"/>
  <c r="G64" i="9" s="1"/>
  <c r="J50" i="9"/>
  <c r="J64" i="9" s="1"/>
  <c r="T50" i="9"/>
  <c r="T64" i="9" s="1"/>
  <c r="R50" i="9"/>
  <c r="R64" i="9" s="1"/>
  <c r="S50" i="9"/>
  <c r="S64" i="9" s="1"/>
  <c r="Q50" i="9"/>
  <c r="Q64" i="9" s="1"/>
  <c r="W50" i="9"/>
  <c r="W64" i="9" s="1"/>
  <c r="X50" i="9"/>
  <c r="X64" i="9" s="1"/>
  <c r="V50" i="9"/>
  <c r="V64" i="9" s="1"/>
  <c r="U50" i="9"/>
  <c r="U64" i="9" s="1"/>
  <c r="Y50" i="9"/>
  <c r="Y64" i="9" s="1"/>
  <c r="Y67" i="9" s="1"/>
  <c r="Y68" i="9" s="1"/>
  <c r="AA50" i="9"/>
  <c r="AA64" i="9" s="1"/>
  <c r="AA67" i="9" s="1"/>
  <c r="AA68" i="9" s="1"/>
  <c r="Z50" i="9"/>
  <c r="Z64" i="9" s="1"/>
  <c r="Z67" i="9" s="1"/>
  <c r="Z68" i="9" s="1"/>
  <c r="P50" i="9"/>
  <c r="P64" i="9" s="1"/>
  <c r="X55" i="9"/>
  <c r="W65" i="9"/>
  <c r="K55" i="9"/>
  <c r="K59" i="9"/>
  <c r="I57" i="9"/>
  <c r="I65" i="9" s="1"/>
  <c r="V68" i="9" l="1"/>
  <c r="V67" i="9"/>
  <c r="V69" i="9"/>
  <c r="V70" i="9" s="1"/>
  <c r="V66" i="9"/>
  <c r="S67" i="9"/>
  <c r="S68" i="9" s="1"/>
  <c r="S66" i="9"/>
  <c r="G69" i="9"/>
  <c r="G70" i="9" s="1"/>
  <c r="G66" i="9"/>
  <c r="G67" i="9"/>
  <c r="G68" i="9"/>
  <c r="I68" i="9"/>
  <c r="I66" i="9"/>
  <c r="I69" i="9"/>
  <c r="I70" i="9" s="1"/>
  <c r="I67" i="9"/>
  <c r="X66" i="9"/>
  <c r="X67" i="9"/>
  <c r="X68" i="9"/>
  <c r="X69" i="9"/>
  <c r="R66" i="9"/>
  <c r="R67" i="9"/>
  <c r="R68" i="9" s="1"/>
  <c r="E66" i="9"/>
  <c r="E67" i="9"/>
  <c r="E68" i="9" s="1"/>
  <c r="F67" i="9"/>
  <c r="F66" i="9"/>
  <c r="F69" i="9"/>
  <c r="F70" i="9" s="1"/>
  <c r="F68" i="9"/>
  <c r="W66" i="9"/>
  <c r="W67" i="9"/>
  <c r="W68" i="9"/>
  <c r="W69" i="9"/>
  <c r="W70" i="9" s="1"/>
  <c r="T66" i="9"/>
  <c r="T67" i="9"/>
  <c r="T68" i="9"/>
  <c r="T69" i="9"/>
  <c r="T70" i="9" s="1"/>
  <c r="C67" i="9"/>
  <c r="C68" i="9" s="1"/>
  <c r="C66" i="9"/>
  <c r="D67" i="9"/>
  <c r="D68" i="9" s="1"/>
  <c r="D66" i="9"/>
  <c r="P67" i="9"/>
  <c r="P68" i="9" s="1"/>
  <c r="P66" i="9"/>
  <c r="U67" i="9"/>
  <c r="U69" i="9"/>
  <c r="U70" i="9" s="1"/>
  <c r="U68" i="9"/>
  <c r="U66" i="9"/>
  <c r="Q67" i="9"/>
  <c r="Q68" i="9" s="1"/>
  <c r="Q66" i="9"/>
  <c r="J67" i="9"/>
  <c r="J66" i="9"/>
  <c r="J69" i="9"/>
  <c r="J68" i="9"/>
  <c r="B67" i="9"/>
  <c r="B68" i="9" s="1"/>
  <c r="B66" i="9"/>
  <c r="H66" i="9"/>
  <c r="H68" i="9"/>
  <c r="H67" i="9"/>
  <c r="H69" i="9"/>
  <c r="H70" i="9" s="1"/>
  <c r="Y55" i="9"/>
  <c r="X65" i="9"/>
  <c r="X70" i="9" s="1"/>
  <c r="L59" i="9"/>
  <c r="J57" i="9"/>
  <c r="J65" i="9" s="1"/>
  <c r="L55" i="9"/>
  <c r="J70" i="9" l="1"/>
  <c r="B69" i="9"/>
  <c r="B70" i="9" s="1"/>
  <c r="P69" i="9"/>
  <c r="P70" i="9" s="1"/>
  <c r="Q69" i="9"/>
  <c r="Q70" i="9" s="1"/>
  <c r="C69" i="9"/>
  <c r="C70" i="9" s="1"/>
  <c r="D69" i="9"/>
  <c r="D70" i="9" s="1"/>
  <c r="S69" i="9"/>
  <c r="S70" i="9" s="1"/>
  <c r="R69" i="9"/>
  <c r="R70" i="9" s="1"/>
  <c r="E69" i="9"/>
  <c r="E70" i="9" s="1"/>
  <c r="Z55" i="9"/>
  <c r="Y65" i="9"/>
  <c r="Y66" i="9" s="1"/>
  <c r="Y69" i="9" s="1"/>
  <c r="Y70" i="9" s="1"/>
  <c r="K57" i="9"/>
  <c r="K65" i="9" s="1"/>
  <c r="K66" i="9" s="1"/>
  <c r="K69" i="9" s="1"/>
  <c r="K70" i="9" s="1"/>
  <c r="M55" i="9"/>
  <c r="M59" i="9"/>
  <c r="AA55" i="9" l="1"/>
  <c r="AA65" i="9" s="1"/>
  <c r="AA66" i="9" s="1"/>
  <c r="AA69" i="9" s="1"/>
  <c r="AA70" i="9" s="1"/>
  <c r="Z65" i="9"/>
  <c r="Z66" i="9" s="1"/>
  <c r="Z69" i="9" s="1"/>
  <c r="Z70" i="9" s="1"/>
  <c r="L57" i="9"/>
  <c r="L65" i="9" s="1"/>
  <c r="L66" i="9" s="1"/>
  <c r="L69" i="9" s="1"/>
  <c r="L70" i="9" s="1"/>
  <c r="P71" i="9" l="1"/>
  <c r="M57" i="9"/>
  <c r="M65" i="9" s="1"/>
  <c r="M66" i="9" s="1"/>
  <c r="M69" i="9" s="1"/>
  <c r="M70" i="9" s="1"/>
  <c r="M71" i="9" s="1"/>
  <c r="P72" i="9" l="1"/>
  <c r="L76" i="9" l="1"/>
  <c r="L80" i="9" s="1"/>
  <c r="L75" i="9" l="1"/>
  <c r="M73" i="9" l="1"/>
  <c r="P73" i="9" l="1"/>
  <c r="Q75" i="9" s="1"/>
  <c r="Q81" i="9" l="1"/>
  <c r="Q84" i="9" s="1"/>
  <c r="Q85" i="9"/>
  <c r="P75" i="9"/>
  <c r="P81" i="9" l="1"/>
  <c r="P84" i="9" s="1"/>
  <c r="P85" i="9"/>
  <c r="Q86" i="9"/>
  <c r="Q87" i="9" s="1"/>
  <c r="Q89" i="9" s="1"/>
  <c r="P86" i="9" l="1"/>
  <c r="P87" i="9" s="1"/>
  <c r="P89" i="9" s="1"/>
  <c r="P90" i="9" s="1"/>
  <c r="P92" i="9" l="1"/>
  <c r="P94" i="9" l="1"/>
  <c r="P93" i="9" s="1"/>
  <c r="N53" i="3" l="1"/>
  <c r="L53" i="3" s="1"/>
  <c r="F74" i="3" s="1"/>
  <c r="N10" i="4" s="1"/>
  <c r="G74" i="3" l="1"/>
  <c r="I10" i="4" s="1"/>
  <c r="H4" i="18" s="1"/>
  <c r="H7" i="18" s="1"/>
  <c r="H13" i="18" s="1"/>
  <c r="H15" i="18" s="1"/>
  <c r="H21" i="18" s="1"/>
  <c r="H22" i="18" s="1"/>
  <c r="H23" i="18" s="1"/>
  <c r="H24" i="18" s="1"/>
  <c r="H25" i="18" s="1"/>
  <c r="H26" i="18" s="1"/>
  <c r="H27" i="18" s="1"/>
  <c r="H28" i="18" s="1"/>
  <c r="H29" i="18" s="1"/>
  <c r="H30" i="18" s="1"/>
  <c r="H31" i="18" s="1"/>
  <c r="H32" i="18" s="1"/>
  <c r="H33" i="18" s="1"/>
  <c r="H34" i="18" s="1"/>
  <c r="H35" i="18" s="1"/>
  <c r="H36" i="18" s="1"/>
  <c r="H37" i="18" s="1"/>
  <c r="H38" i="18" s="1"/>
  <c r="H39" i="18" s="1"/>
  <c r="H40" i="18" s="1"/>
  <c r="H41" i="18" s="1"/>
  <c r="H42" i="18" s="1"/>
  <c r="H43" i="18" s="1"/>
  <c r="H44" i="18" s="1"/>
  <c r="H45" i="18" s="1"/>
  <c r="H46" i="18" s="1"/>
  <c r="H47" i="18" s="1"/>
  <c r="H48" i="18" s="1"/>
  <c r="H49" i="18" s="1"/>
  <c r="H50" i="18" s="1"/>
  <c r="H51" i="18" s="1"/>
  <c r="H52" i="18" s="1"/>
  <c r="H53" i="18" s="1"/>
  <c r="H54" i="18" s="1"/>
  <c r="H55" i="18" s="1"/>
  <c r="H56" i="18" s="1"/>
  <c r="H57" i="18" s="1"/>
  <c r="H58" i="18" s="1"/>
  <c r="H59" i="18" s="1"/>
  <c r="H60" i="18" s="1"/>
  <c r="H61" i="18" s="1"/>
  <c r="H62" i="18" s="1"/>
  <c r="H63" i="18" s="1"/>
  <c r="H64" i="18" s="1"/>
  <c r="H65" i="18" s="1"/>
  <c r="H66" i="18" s="1"/>
  <c r="H67" i="18" s="1"/>
  <c r="H68" i="18" s="1"/>
  <c r="H69" i="18" s="1"/>
  <c r="H70" i="18" s="1"/>
  <c r="H71" i="18" s="1"/>
  <c r="H72" i="18" s="1"/>
  <c r="H73" i="18" s="1"/>
  <c r="H74" i="18" s="1"/>
  <c r="H75" i="18" s="1"/>
  <c r="H76" i="18" s="1"/>
  <c r="H77" i="18" s="1"/>
  <c r="H78" i="18" s="1"/>
  <c r="H79" i="18" s="1"/>
  <c r="H80" i="18" s="1"/>
  <c r="H81" i="18" s="1"/>
  <c r="H82" i="18" s="1"/>
  <c r="H83" i="18" s="1"/>
  <c r="H84" i="18" s="1"/>
  <c r="H85" i="18" s="1"/>
  <c r="H86" i="18" s="1"/>
  <c r="H87" i="18" s="1"/>
  <c r="H88" i="18" s="1"/>
  <c r="H89" i="18" s="1"/>
  <c r="H90" i="18" s="1"/>
  <c r="H91" i="18" s="1"/>
  <c r="H92" i="18" s="1"/>
  <c r="H93" i="18" s="1"/>
  <c r="H94" i="18" s="1"/>
  <c r="H95" i="18" s="1"/>
  <c r="H96" i="18" s="1"/>
  <c r="H97" i="18" s="1"/>
  <c r="H98" i="18" s="1"/>
  <c r="H99" i="18" s="1"/>
  <c r="H100" i="18" s="1"/>
  <c r="H101" i="18" s="1"/>
  <c r="H102" i="18" s="1"/>
  <c r="H103" i="18" s="1"/>
  <c r="H104" i="18" s="1"/>
  <c r="H105" i="18" s="1"/>
  <c r="H106" i="18" s="1"/>
  <c r="H107" i="18" s="1"/>
  <c r="H108" i="18" s="1"/>
  <c r="H109" i="18" s="1"/>
  <c r="H110" i="18" s="1"/>
  <c r="H111" i="18" s="1"/>
  <c r="H112" i="18" s="1"/>
  <c r="H113" i="18" s="1"/>
  <c r="H114" i="18" s="1"/>
  <c r="H115" i="18" s="1"/>
  <c r="H116" i="18" s="1"/>
  <c r="H117" i="18" s="1"/>
  <c r="H118" i="18" s="1"/>
  <c r="H119" i="18" s="1"/>
  <c r="H120" i="18" s="1"/>
  <c r="H121" i="18" s="1"/>
  <c r="J4" i="18" l="1"/>
  <c r="J7" i="18" s="1"/>
  <c r="J13" i="18" s="1"/>
  <c r="J15" i="18" s="1"/>
  <c r="J21" i="18" s="1"/>
  <c r="J22" i="18" s="1"/>
  <c r="J23" i="18" s="1"/>
  <c r="J24" i="18" s="1"/>
  <c r="J25" i="18" s="1"/>
  <c r="J26" i="18" s="1"/>
  <c r="J27" i="18" s="1"/>
  <c r="J28" i="18" s="1"/>
  <c r="J29" i="18" s="1"/>
  <c r="J30" i="18" s="1"/>
  <c r="J31" i="18" s="1"/>
  <c r="J32" i="18" s="1"/>
  <c r="J33" i="18" s="1"/>
  <c r="J34" i="18" s="1"/>
  <c r="J35" i="18" s="1"/>
  <c r="J36" i="18" s="1"/>
  <c r="J37" i="18" s="1"/>
  <c r="J38" i="18" s="1"/>
  <c r="J39" i="18" s="1"/>
  <c r="J40" i="18" s="1"/>
  <c r="J41" i="18" s="1"/>
  <c r="J42" i="18" s="1"/>
  <c r="J43" i="18" s="1"/>
  <c r="J44" i="18" s="1"/>
  <c r="J45" i="18" s="1"/>
  <c r="J46" i="18" s="1"/>
  <c r="J47" i="18" s="1"/>
  <c r="J48" i="18" s="1"/>
  <c r="J49" i="18" s="1"/>
  <c r="J50" i="18" s="1"/>
  <c r="J51" i="18" s="1"/>
  <c r="J52" i="18" s="1"/>
  <c r="J53" i="18" s="1"/>
  <c r="J54" i="18" s="1"/>
  <c r="J55" i="18" s="1"/>
  <c r="J56" i="18" s="1"/>
  <c r="J57" i="18" s="1"/>
  <c r="J58" i="18" s="1"/>
  <c r="J59" i="18" s="1"/>
  <c r="J60" i="18" s="1"/>
  <c r="J61" i="18" s="1"/>
  <c r="J62" i="18" s="1"/>
  <c r="J63" i="18" s="1"/>
  <c r="J64" i="18" s="1"/>
  <c r="J65" i="18" s="1"/>
  <c r="J66" i="18" s="1"/>
  <c r="J67" i="18" s="1"/>
  <c r="J68" i="18" s="1"/>
  <c r="J69" i="18" s="1"/>
  <c r="J70" i="18" s="1"/>
  <c r="J71" i="18" s="1"/>
  <c r="J72" i="18" s="1"/>
  <c r="J73" i="18" s="1"/>
  <c r="J74" i="18" s="1"/>
  <c r="J75" i="18" s="1"/>
  <c r="J76" i="18" s="1"/>
  <c r="J77" i="18" s="1"/>
  <c r="J78" i="18" s="1"/>
  <c r="J79" i="18" s="1"/>
  <c r="J80" i="18" s="1"/>
  <c r="J81" i="18" s="1"/>
  <c r="J82" i="18" s="1"/>
  <c r="J83" i="18" s="1"/>
  <c r="J84" i="18" s="1"/>
  <c r="J85" i="18" s="1"/>
  <c r="J86" i="18" s="1"/>
  <c r="J87" i="18" s="1"/>
  <c r="J88" i="18" s="1"/>
  <c r="J89" i="18" s="1"/>
  <c r="J90" i="18" s="1"/>
  <c r="J91" i="18" s="1"/>
  <c r="J92" i="18" s="1"/>
  <c r="J93" i="18" s="1"/>
  <c r="J94" i="18" s="1"/>
  <c r="J95" i="18" s="1"/>
  <c r="J96" i="18" s="1"/>
  <c r="J97" i="18" s="1"/>
  <c r="J98" i="18" s="1"/>
  <c r="J99" i="18" s="1"/>
  <c r="J100" i="18" s="1"/>
  <c r="J101" i="18" s="1"/>
  <c r="J102" i="18" s="1"/>
  <c r="J103" i="18" s="1"/>
  <c r="J104" i="18" s="1"/>
  <c r="J105" i="18" s="1"/>
  <c r="J106" i="18" s="1"/>
  <c r="J107" i="18" s="1"/>
  <c r="J108" i="18" s="1"/>
  <c r="J109" i="18" s="1"/>
  <c r="J110" i="18" s="1"/>
  <c r="J111" i="18" s="1"/>
  <c r="J112" i="18" s="1"/>
  <c r="J113" i="18" s="1"/>
  <c r="J114" i="18" s="1"/>
  <c r="J115" i="18" s="1"/>
  <c r="J116" i="18" s="1"/>
  <c r="J117" i="18" s="1"/>
  <c r="J118" i="18" s="1"/>
  <c r="J119" i="18" s="1"/>
  <c r="J120" i="18" s="1"/>
  <c r="J121" i="18" s="1"/>
  <c r="Y4" i="18"/>
  <c r="Y7" i="18" s="1"/>
  <c r="Y13" i="18" s="1"/>
  <c r="Y15" i="18" s="1"/>
  <c r="Y21" i="18" s="1"/>
  <c r="Y22" i="18" s="1"/>
  <c r="Y23" i="18" s="1"/>
  <c r="Y24" i="18" s="1"/>
  <c r="Y25" i="18" s="1"/>
  <c r="Y26" i="18" s="1"/>
  <c r="Y27" i="18" s="1"/>
  <c r="Y28" i="18" s="1"/>
  <c r="Y29" i="18" s="1"/>
  <c r="Y30" i="18" s="1"/>
  <c r="Y31" i="18" s="1"/>
  <c r="Y32" i="18" s="1"/>
  <c r="Y33" i="18" s="1"/>
  <c r="Y34" i="18" s="1"/>
  <c r="Y35" i="18" s="1"/>
  <c r="Y36" i="18" s="1"/>
  <c r="Y37" i="18" s="1"/>
  <c r="Y38" i="18" s="1"/>
  <c r="Y39" i="18" s="1"/>
  <c r="Y40" i="18" s="1"/>
  <c r="Y41" i="18" s="1"/>
  <c r="Y42" i="18" s="1"/>
  <c r="Y43" i="18" s="1"/>
  <c r="Y44" i="18" s="1"/>
  <c r="Y45" i="18" s="1"/>
  <c r="Y46" i="18" s="1"/>
  <c r="Y47" i="18" s="1"/>
  <c r="Y48" i="18" s="1"/>
  <c r="Y49" i="18" s="1"/>
  <c r="Y50" i="18" s="1"/>
  <c r="Y51" i="18" s="1"/>
  <c r="Y52" i="18" s="1"/>
  <c r="Y53" i="18" s="1"/>
  <c r="Y54" i="18" s="1"/>
  <c r="Y55" i="18" s="1"/>
  <c r="Y56" i="18" s="1"/>
  <c r="Y57" i="18" s="1"/>
  <c r="Y58" i="18" s="1"/>
  <c r="Y59" i="18" s="1"/>
  <c r="Y60" i="18" s="1"/>
  <c r="Y61" i="18" s="1"/>
  <c r="Y62" i="18" s="1"/>
  <c r="Y63" i="18" s="1"/>
  <c r="Y64" i="18" s="1"/>
  <c r="Y65" i="18" s="1"/>
  <c r="Y66" i="18" s="1"/>
  <c r="Y67" i="18" s="1"/>
  <c r="Y68" i="18" s="1"/>
  <c r="Y69" i="18" s="1"/>
  <c r="Y70" i="18" s="1"/>
  <c r="Y71" i="18" s="1"/>
  <c r="Y72" i="18" s="1"/>
  <c r="Y73" i="18" s="1"/>
  <c r="Y74" i="18" s="1"/>
  <c r="Y75" i="18" s="1"/>
  <c r="Y76" i="18" s="1"/>
  <c r="Y77" i="18" s="1"/>
  <c r="Y78" i="18" s="1"/>
  <c r="Y79" i="18" s="1"/>
  <c r="Y80" i="18" s="1"/>
  <c r="Y81" i="18" s="1"/>
  <c r="Y82" i="18" s="1"/>
  <c r="Y83" i="18" s="1"/>
  <c r="Y84" i="18" s="1"/>
  <c r="Y85" i="18" s="1"/>
  <c r="Y86" i="18" s="1"/>
  <c r="Y87" i="18" s="1"/>
  <c r="Y88" i="18" s="1"/>
  <c r="Y89" i="18" s="1"/>
  <c r="Y90" i="18" s="1"/>
  <c r="Y91" i="18" s="1"/>
  <c r="Y92" i="18" s="1"/>
  <c r="Y93" i="18" s="1"/>
  <c r="Y94" i="18" s="1"/>
  <c r="Y95" i="18" s="1"/>
  <c r="Y96" i="18" s="1"/>
  <c r="Y97" i="18" s="1"/>
  <c r="Y98" i="18" s="1"/>
  <c r="Y99" i="18" s="1"/>
  <c r="Y100" i="18" s="1"/>
  <c r="Y101" i="18" s="1"/>
  <c r="Y102" i="18" s="1"/>
  <c r="Y103" i="18" s="1"/>
  <c r="Y104" i="18" s="1"/>
  <c r="Y105" i="18" s="1"/>
  <c r="Y106" i="18" s="1"/>
  <c r="Y107" i="18" s="1"/>
  <c r="Y108" i="18" s="1"/>
  <c r="Y109" i="18" s="1"/>
  <c r="Y110" i="18" s="1"/>
  <c r="Y111" i="18" s="1"/>
  <c r="Y112" i="18" s="1"/>
  <c r="Y113" i="18" s="1"/>
  <c r="Y114" i="18" s="1"/>
  <c r="Y115" i="18" s="1"/>
  <c r="Y116" i="18" s="1"/>
  <c r="Y117" i="18" s="1"/>
  <c r="Y118" i="18" s="1"/>
  <c r="Y119" i="18" s="1"/>
  <c r="Y120" i="18" s="1"/>
  <c r="Y121" i="18" s="1"/>
  <c r="I14" i="4"/>
  <c r="V4" i="18"/>
  <c r="V7" i="18" s="1"/>
  <c r="V13" i="18" s="1"/>
  <c r="V15"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68" i="18" s="1"/>
  <c r="V69" i="18" s="1"/>
  <c r="V70" i="18" s="1"/>
  <c r="V71" i="18" s="1"/>
  <c r="V72" i="18" s="1"/>
  <c r="V73" i="18" s="1"/>
  <c r="V74" i="18" s="1"/>
  <c r="V75" i="18" s="1"/>
  <c r="V76" i="18" s="1"/>
  <c r="V77" i="18" s="1"/>
  <c r="V78" i="18" s="1"/>
  <c r="V79" i="18" s="1"/>
  <c r="V80" i="18" s="1"/>
  <c r="V81" i="18" s="1"/>
  <c r="V82" i="18" s="1"/>
  <c r="V83" i="18" s="1"/>
  <c r="V84" i="18" s="1"/>
  <c r="V85" i="18" s="1"/>
  <c r="V86" i="18" s="1"/>
  <c r="V87" i="18" s="1"/>
  <c r="V88" i="18" s="1"/>
  <c r="V89" i="18" s="1"/>
  <c r="V90" i="18" s="1"/>
  <c r="V91" i="18" s="1"/>
  <c r="V92" i="18" s="1"/>
  <c r="V93" i="18" s="1"/>
  <c r="V94" i="18" s="1"/>
  <c r="V95" i="18" s="1"/>
  <c r="V96" i="18" s="1"/>
  <c r="V97" i="18" s="1"/>
  <c r="V98" i="18" s="1"/>
  <c r="V99" i="18" s="1"/>
  <c r="V100" i="18" s="1"/>
  <c r="V101" i="18" s="1"/>
  <c r="V102" i="18" s="1"/>
  <c r="V103" i="18" s="1"/>
  <c r="V104" i="18" s="1"/>
  <c r="V105" i="18" s="1"/>
  <c r="V106" i="18" s="1"/>
  <c r="V107" i="18" s="1"/>
  <c r="V108" i="18" s="1"/>
  <c r="V109" i="18" s="1"/>
  <c r="V110" i="18" s="1"/>
  <c r="V111" i="18" s="1"/>
  <c r="V112" i="18" s="1"/>
  <c r="V113" i="18" s="1"/>
  <c r="V114" i="18" s="1"/>
  <c r="V115" i="18" s="1"/>
  <c r="V116" i="18" s="1"/>
  <c r="V117" i="18" s="1"/>
  <c r="V118" i="18" s="1"/>
  <c r="V119" i="18" s="1"/>
  <c r="V120" i="18" s="1"/>
  <c r="V121" i="18" s="1"/>
  <c r="U4" i="18"/>
  <c r="U7" i="18" s="1"/>
  <c r="U13" i="18" s="1"/>
  <c r="U15" i="18" s="1"/>
  <c r="U21" i="18" s="1"/>
  <c r="U22" i="18" s="1"/>
  <c r="U23" i="18" s="1"/>
  <c r="U24" i="18" s="1"/>
  <c r="U25" i="18" s="1"/>
  <c r="U26" i="18" s="1"/>
  <c r="U27" i="18" s="1"/>
  <c r="U28" i="18" s="1"/>
  <c r="U29" i="18" s="1"/>
  <c r="U30" i="18" s="1"/>
  <c r="U31" i="18" s="1"/>
  <c r="U32" i="18" s="1"/>
  <c r="U33" i="18" s="1"/>
  <c r="U34" i="18" s="1"/>
  <c r="U35" i="18" s="1"/>
  <c r="U36" i="18" s="1"/>
  <c r="U37" i="18" s="1"/>
  <c r="U38" i="18" s="1"/>
  <c r="U39" i="18" s="1"/>
  <c r="U40" i="18" s="1"/>
  <c r="U41" i="18" s="1"/>
  <c r="U42" i="18" s="1"/>
  <c r="U43" i="18" s="1"/>
  <c r="U44" i="18" s="1"/>
  <c r="U45" i="18" s="1"/>
  <c r="U46" i="18" s="1"/>
  <c r="U47" i="18" s="1"/>
  <c r="U48" i="18" s="1"/>
  <c r="U49" i="18" s="1"/>
  <c r="U50" i="18" s="1"/>
  <c r="U51" i="18" s="1"/>
  <c r="U52" i="18" s="1"/>
  <c r="U53" i="18" s="1"/>
  <c r="U54" i="18" s="1"/>
  <c r="U55" i="18" s="1"/>
  <c r="U56" i="18" s="1"/>
  <c r="U57" i="18" s="1"/>
  <c r="U58" i="18" s="1"/>
  <c r="U59" i="18" s="1"/>
  <c r="U60" i="18" s="1"/>
  <c r="U61" i="18" s="1"/>
  <c r="U62" i="18" s="1"/>
  <c r="U63" i="18" s="1"/>
  <c r="U64" i="18" s="1"/>
  <c r="U65" i="18" s="1"/>
  <c r="U66" i="18" s="1"/>
  <c r="U67" i="18" s="1"/>
  <c r="U68" i="18" s="1"/>
  <c r="U69" i="18" s="1"/>
  <c r="U70" i="18" s="1"/>
  <c r="U71" i="18" s="1"/>
  <c r="U72" i="18" s="1"/>
  <c r="U73" i="18" s="1"/>
  <c r="U74" i="18" s="1"/>
  <c r="U75" i="18" s="1"/>
  <c r="U76" i="18" s="1"/>
  <c r="U77" i="18" s="1"/>
  <c r="U78" i="18" s="1"/>
  <c r="U79" i="18" s="1"/>
  <c r="U80" i="18" s="1"/>
  <c r="U81" i="18" s="1"/>
  <c r="U82" i="18" s="1"/>
  <c r="U83" i="18" s="1"/>
  <c r="U84" i="18" s="1"/>
  <c r="U85" i="18" s="1"/>
  <c r="U86" i="18" s="1"/>
  <c r="U87" i="18" s="1"/>
  <c r="U88" i="18" s="1"/>
  <c r="U89" i="18" s="1"/>
  <c r="U90" i="18" s="1"/>
  <c r="U91" i="18" s="1"/>
  <c r="U92" i="18" s="1"/>
  <c r="U93" i="18" s="1"/>
  <c r="U94" i="18" s="1"/>
  <c r="U95" i="18" s="1"/>
  <c r="U96" i="18" s="1"/>
  <c r="U97" i="18" s="1"/>
  <c r="U98" i="18" s="1"/>
  <c r="U99" i="18" s="1"/>
  <c r="U100" i="18" s="1"/>
  <c r="U101" i="18" s="1"/>
  <c r="U102" i="18" s="1"/>
  <c r="U103" i="18" s="1"/>
  <c r="U104" i="18" s="1"/>
  <c r="U105" i="18" s="1"/>
  <c r="U106" i="18" s="1"/>
  <c r="U107" i="18" s="1"/>
  <c r="U108" i="18" s="1"/>
  <c r="U109" i="18" s="1"/>
  <c r="U110" i="18" s="1"/>
  <c r="U111" i="18" s="1"/>
  <c r="U112" i="18" s="1"/>
  <c r="U113" i="18" s="1"/>
  <c r="U114" i="18" s="1"/>
  <c r="U115" i="18" s="1"/>
  <c r="U116" i="18" s="1"/>
  <c r="U117" i="18" s="1"/>
  <c r="U118" i="18" s="1"/>
  <c r="U119" i="18" s="1"/>
  <c r="U120" i="18" s="1"/>
  <c r="U121" i="18" s="1"/>
  <c r="T4" i="18"/>
  <c r="T7" i="18" s="1"/>
  <c r="T13" i="18" s="1"/>
  <c r="T15" i="18" s="1"/>
  <c r="T21" i="18" s="1"/>
  <c r="T22" i="18" s="1"/>
  <c r="T23" i="18" s="1"/>
  <c r="T24" i="18" s="1"/>
  <c r="T25" i="18" s="1"/>
  <c r="T26" i="18" s="1"/>
  <c r="T27" i="18" s="1"/>
  <c r="T28" i="18" s="1"/>
  <c r="T29" i="18" s="1"/>
  <c r="T30" i="18" s="1"/>
  <c r="T31" i="18" s="1"/>
  <c r="T32" i="18" s="1"/>
  <c r="T33" i="18" s="1"/>
  <c r="T34" i="18" s="1"/>
  <c r="T35" i="18" s="1"/>
  <c r="T36" i="18" s="1"/>
  <c r="T37" i="18" s="1"/>
  <c r="T38" i="18" s="1"/>
  <c r="T39" i="18" s="1"/>
  <c r="T40" i="18" s="1"/>
  <c r="T41" i="18" s="1"/>
  <c r="T42" i="18" s="1"/>
  <c r="T43" i="18" s="1"/>
  <c r="T44" i="18" s="1"/>
  <c r="T45" i="18" s="1"/>
  <c r="T46" i="18" s="1"/>
  <c r="T47" i="18" s="1"/>
  <c r="T48" i="18" s="1"/>
  <c r="T49" i="18" s="1"/>
  <c r="T50" i="18" s="1"/>
  <c r="T51" i="18" s="1"/>
  <c r="T52" i="18" s="1"/>
  <c r="T53" i="18" s="1"/>
  <c r="T54" i="18" s="1"/>
  <c r="T55" i="18" s="1"/>
  <c r="T56" i="18" s="1"/>
  <c r="T57" i="18" s="1"/>
  <c r="T58" i="18" s="1"/>
  <c r="T59" i="18" s="1"/>
  <c r="T60" i="18" s="1"/>
  <c r="T61" i="18" s="1"/>
  <c r="T62" i="18" s="1"/>
  <c r="T63" i="18" s="1"/>
  <c r="T64" i="18" s="1"/>
  <c r="T65" i="18" s="1"/>
  <c r="T66" i="18" s="1"/>
  <c r="T67" i="18" s="1"/>
  <c r="T68" i="18" s="1"/>
  <c r="T69" i="18" s="1"/>
  <c r="T70" i="18" s="1"/>
  <c r="T71" i="18" s="1"/>
  <c r="T72" i="18" s="1"/>
  <c r="T73" i="18" s="1"/>
  <c r="T74" i="18" s="1"/>
  <c r="T75" i="18" s="1"/>
  <c r="T76" i="18" s="1"/>
  <c r="T77" i="18" s="1"/>
  <c r="T78" i="18" s="1"/>
  <c r="T79" i="18" s="1"/>
  <c r="T80" i="18" s="1"/>
  <c r="T81" i="18" s="1"/>
  <c r="T82" i="18" s="1"/>
  <c r="T83" i="18" s="1"/>
  <c r="T84" i="18" s="1"/>
  <c r="T85" i="18" s="1"/>
  <c r="T86" i="18" s="1"/>
  <c r="T87" i="18" s="1"/>
  <c r="T88" i="18" s="1"/>
  <c r="T89" i="18" s="1"/>
  <c r="T90" i="18" s="1"/>
  <c r="T91" i="18" s="1"/>
  <c r="T92" i="18" s="1"/>
  <c r="T93" i="18" s="1"/>
  <c r="T94" i="18" s="1"/>
  <c r="T95" i="18" s="1"/>
  <c r="T96" i="18" s="1"/>
  <c r="T97" i="18" s="1"/>
  <c r="T98" i="18" s="1"/>
  <c r="T99" i="18" s="1"/>
  <c r="T100" i="18" s="1"/>
  <c r="T101" i="18" s="1"/>
  <c r="T102" i="18" s="1"/>
  <c r="T103" i="18" s="1"/>
  <c r="T104" i="18" s="1"/>
  <c r="T105" i="18" s="1"/>
  <c r="T106" i="18" s="1"/>
  <c r="T107" i="18" s="1"/>
  <c r="T108" i="18" s="1"/>
  <c r="T109" i="18" s="1"/>
  <c r="T110" i="18" s="1"/>
  <c r="T111" i="18" s="1"/>
  <c r="T112" i="18" s="1"/>
  <c r="T113" i="18" s="1"/>
  <c r="T114" i="18" s="1"/>
  <c r="T115" i="18" s="1"/>
  <c r="T116" i="18" s="1"/>
  <c r="T117" i="18" s="1"/>
  <c r="T118" i="18" s="1"/>
  <c r="T119" i="18" s="1"/>
  <c r="T120" i="18" s="1"/>
  <c r="T121" i="18" s="1"/>
  <c r="L4" i="18"/>
  <c r="L7" i="18" s="1"/>
  <c r="L13" i="18" s="1"/>
  <c r="L15" i="18" s="1"/>
  <c r="L21" i="18" s="1"/>
  <c r="L22" i="18" s="1"/>
  <c r="L23" i="18" s="1"/>
  <c r="L24" i="18" s="1"/>
  <c r="L25" i="18" s="1"/>
  <c r="L26" i="18" s="1"/>
  <c r="L27" i="18" s="1"/>
  <c r="L28" i="18" s="1"/>
  <c r="L29" i="18" s="1"/>
  <c r="L30" i="18" s="1"/>
  <c r="L31" i="18" s="1"/>
  <c r="L32" i="18" s="1"/>
  <c r="L33" i="18" s="1"/>
  <c r="L34" i="18" s="1"/>
  <c r="L35" i="18" s="1"/>
  <c r="L36" i="18" s="1"/>
  <c r="L37" i="18" s="1"/>
  <c r="L38" i="18" s="1"/>
  <c r="L39" i="18" s="1"/>
  <c r="L40" i="18" s="1"/>
  <c r="L41" i="18" s="1"/>
  <c r="L42" i="18" s="1"/>
  <c r="L43" i="18" s="1"/>
  <c r="L44" i="18" s="1"/>
  <c r="L45" i="18" s="1"/>
  <c r="L46" i="18" s="1"/>
  <c r="L47" i="18" s="1"/>
  <c r="L48" i="18" s="1"/>
  <c r="L49" i="18" s="1"/>
  <c r="L50" i="18" s="1"/>
  <c r="L51" i="18" s="1"/>
  <c r="L52" i="18" s="1"/>
  <c r="L53" i="18" s="1"/>
  <c r="L54" i="18" s="1"/>
  <c r="L55" i="18" s="1"/>
  <c r="L56" i="18" s="1"/>
  <c r="L57" i="18" s="1"/>
  <c r="L58" i="18" s="1"/>
  <c r="L59" i="18" s="1"/>
  <c r="L60" i="18" s="1"/>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L86" i="18" s="1"/>
  <c r="L87" i="18" s="1"/>
  <c r="L88" i="18" s="1"/>
  <c r="L89" i="18" s="1"/>
  <c r="L90" i="18" s="1"/>
  <c r="L91" i="18" s="1"/>
  <c r="L92" i="18" s="1"/>
  <c r="L93" i="18" s="1"/>
  <c r="L94" i="18" s="1"/>
  <c r="L95" i="18" s="1"/>
  <c r="L96" i="18" s="1"/>
  <c r="L97" i="18" s="1"/>
  <c r="L98" i="18" s="1"/>
  <c r="L99" i="18" s="1"/>
  <c r="L100" i="18" s="1"/>
  <c r="L101" i="18" s="1"/>
  <c r="L102" i="18" s="1"/>
  <c r="L103" i="18" s="1"/>
  <c r="L104" i="18" s="1"/>
  <c r="L105" i="18" s="1"/>
  <c r="L106" i="18" s="1"/>
  <c r="L107" i="18" s="1"/>
  <c r="L108" i="18" s="1"/>
  <c r="L109" i="18" s="1"/>
  <c r="L110" i="18" s="1"/>
  <c r="L111" i="18" s="1"/>
  <c r="L112" i="18" s="1"/>
  <c r="L113" i="18" s="1"/>
  <c r="L114" i="18" s="1"/>
  <c r="L115" i="18" s="1"/>
  <c r="L116" i="18" s="1"/>
  <c r="L117" i="18" s="1"/>
  <c r="L118" i="18" s="1"/>
  <c r="L119" i="18" s="1"/>
  <c r="L120" i="18" s="1"/>
  <c r="L121" i="18" s="1"/>
  <c r="S4" i="18"/>
  <c r="S7" i="18" s="1"/>
  <c r="S13" i="18" s="1"/>
  <c r="S15" i="18" s="1"/>
  <c r="S21" i="18" s="1"/>
  <c r="S22" i="18" s="1"/>
  <c r="S23" i="18" s="1"/>
  <c r="S24" i="18" s="1"/>
  <c r="S25" i="18" s="1"/>
  <c r="S26" i="18" s="1"/>
  <c r="S27" i="18" s="1"/>
  <c r="S28" i="18" s="1"/>
  <c r="S29" i="18" s="1"/>
  <c r="S30" i="18" s="1"/>
  <c r="S31" i="18" s="1"/>
  <c r="S32" i="18" s="1"/>
  <c r="S33" i="18" s="1"/>
  <c r="S34" i="18" s="1"/>
  <c r="S35" i="18" s="1"/>
  <c r="S36" i="18" s="1"/>
  <c r="S37" i="18" s="1"/>
  <c r="S38" i="18" s="1"/>
  <c r="S39" i="18" s="1"/>
  <c r="S40" i="18" s="1"/>
  <c r="S41" i="18" s="1"/>
  <c r="S42" i="18" s="1"/>
  <c r="S43" i="18" s="1"/>
  <c r="S44" i="18" s="1"/>
  <c r="S45" i="18" s="1"/>
  <c r="S46" i="18" s="1"/>
  <c r="S47" i="18" s="1"/>
  <c r="S48" i="18" s="1"/>
  <c r="S49" i="18" s="1"/>
  <c r="S50" i="18" s="1"/>
  <c r="S51" i="18" s="1"/>
  <c r="S52" i="18" s="1"/>
  <c r="S53" i="18" s="1"/>
  <c r="S54" i="18" s="1"/>
  <c r="S55" i="18" s="1"/>
  <c r="S56" i="18" s="1"/>
  <c r="S57" i="18" s="1"/>
  <c r="S58" i="18" s="1"/>
  <c r="S59" i="18" s="1"/>
  <c r="S60" i="18" s="1"/>
  <c r="S61" i="18" s="1"/>
  <c r="S62" i="18" s="1"/>
  <c r="S63" i="18" s="1"/>
  <c r="S64" i="18" s="1"/>
  <c r="S65" i="18" s="1"/>
  <c r="S66" i="18" s="1"/>
  <c r="S67" i="18" s="1"/>
  <c r="S68" i="18" s="1"/>
  <c r="S69" i="18" s="1"/>
  <c r="S70" i="18" s="1"/>
  <c r="S71" i="18" s="1"/>
  <c r="S72" i="18" s="1"/>
  <c r="S73" i="18" s="1"/>
  <c r="S74" i="18" s="1"/>
  <c r="S75" i="18" s="1"/>
  <c r="S76" i="18" s="1"/>
  <c r="S77" i="18" s="1"/>
  <c r="S78" i="18" s="1"/>
  <c r="S79" i="18" s="1"/>
  <c r="S80" i="18" s="1"/>
  <c r="S81" i="18" s="1"/>
  <c r="S82" i="18" s="1"/>
  <c r="S83" i="18" s="1"/>
  <c r="S84" i="18" s="1"/>
  <c r="S85" i="18" s="1"/>
  <c r="S86" i="18" s="1"/>
  <c r="S87" i="18" s="1"/>
  <c r="S88" i="18" s="1"/>
  <c r="S89" i="18" s="1"/>
  <c r="S90" i="18" s="1"/>
  <c r="S91" i="18" s="1"/>
  <c r="S92" i="18" s="1"/>
  <c r="S93" i="18" s="1"/>
  <c r="S94" i="18" s="1"/>
  <c r="S95" i="18" s="1"/>
  <c r="S96" i="18" s="1"/>
  <c r="S97" i="18" s="1"/>
  <c r="S98" i="18" s="1"/>
  <c r="S99" i="18" s="1"/>
  <c r="S100" i="18" s="1"/>
  <c r="S101" i="18" s="1"/>
  <c r="S102" i="18" s="1"/>
  <c r="S103" i="18" s="1"/>
  <c r="S104" i="18" s="1"/>
  <c r="S105" i="18" s="1"/>
  <c r="S106" i="18" s="1"/>
  <c r="S107" i="18" s="1"/>
  <c r="S108" i="18" s="1"/>
  <c r="S109" i="18" s="1"/>
  <c r="S110" i="18" s="1"/>
  <c r="S111" i="18" s="1"/>
  <c r="S112" i="18" s="1"/>
  <c r="S113" i="18" s="1"/>
  <c r="S114" i="18" s="1"/>
  <c r="S115" i="18" s="1"/>
  <c r="S116" i="18" s="1"/>
  <c r="S117" i="18" s="1"/>
  <c r="S118" i="18" s="1"/>
  <c r="S119" i="18" s="1"/>
  <c r="S120" i="18" s="1"/>
  <c r="S121" i="18" s="1"/>
  <c r="O4" i="18"/>
  <c r="O7" i="18" s="1"/>
  <c r="O13" i="18" s="1"/>
  <c r="O15" i="18" s="1"/>
  <c r="O21" i="18" s="1"/>
  <c r="O22" i="18" s="1"/>
  <c r="O23" i="18" s="1"/>
  <c r="O24" i="18" s="1"/>
  <c r="O25" i="18" s="1"/>
  <c r="O26" i="18" s="1"/>
  <c r="O27" i="18" s="1"/>
  <c r="O28" i="18" s="1"/>
  <c r="O29" i="18" s="1"/>
  <c r="O30" i="18" s="1"/>
  <c r="O31" i="18" s="1"/>
  <c r="O32" i="18" s="1"/>
  <c r="O33" i="18" s="1"/>
  <c r="O34" i="18" s="1"/>
  <c r="O35" i="18" s="1"/>
  <c r="O36" i="18" s="1"/>
  <c r="O37" i="18" s="1"/>
  <c r="O38" i="18" s="1"/>
  <c r="O39" i="18" s="1"/>
  <c r="O40" i="18" s="1"/>
  <c r="O41" i="18" s="1"/>
  <c r="O42" i="18" s="1"/>
  <c r="O43" i="18" s="1"/>
  <c r="O44" i="18" s="1"/>
  <c r="O45" i="18" s="1"/>
  <c r="O46" i="18" s="1"/>
  <c r="O47" i="18" s="1"/>
  <c r="O48" i="18" s="1"/>
  <c r="O49" i="18" s="1"/>
  <c r="O50" i="18" s="1"/>
  <c r="O51" i="18" s="1"/>
  <c r="O52" i="18" s="1"/>
  <c r="O53" i="18" s="1"/>
  <c r="O54" i="18" s="1"/>
  <c r="O55" i="18" s="1"/>
  <c r="O56" i="18" s="1"/>
  <c r="O57" i="18" s="1"/>
  <c r="O58" i="18" s="1"/>
  <c r="O59" i="18" s="1"/>
  <c r="O60" i="18" s="1"/>
  <c r="O61" i="18" s="1"/>
  <c r="O62" i="18" s="1"/>
  <c r="O63" i="18" s="1"/>
  <c r="O64" i="18" s="1"/>
  <c r="O65" i="18" s="1"/>
  <c r="O66" i="18" s="1"/>
  <c r="O67" i="18" s="1"/>
  <c r="O68" i="18" s="1"/>
  <c r="O69" i="18" s="1"/>
  <c r="O70" i="18" s="1"/>
  <c r="O71" i="18" s="1"/>
  <c r="O72" i="18" s="1"/>
  <c r="O73" i="18" s="1"/>
  <c r="O74" i="18" s="1"/>
  <c r="O75" i="18" s="1"/>
  <c r="O76" i="18" s="1"/>
  <c r="O77" i="18" s="1"/>
  <c r="O78" i="18" s="1"/>
  <c r="O79" i="18" s="1"/>
  <c r="O80" i="18" s="1"/>
  <c r="O81" i="18" s="1"/>
  <c r="O82" i="18" s="1"/>
  <c r="O83" i="18" s="1"/>
  <c r="O84" i="18" s="1"/>
  <c r="O85" i="18" s="1"/>
  <c r="O86" i="18" s="1"/>
  <c r="O87" i="18" s="1"/>
  <c r="O88" i="18" s="1"/>
  <c r="O89" i="18" s="1"/>
  <c r="O90" i="18" s="1"/>
  <c r="O91" i="18" s="1"/>
  <c r="O92" i="18" s="1"/>
  <c r="O93" i="18" s="1"/>
  <c r="O94" i="18" s="1"/>
  <c r="O95" i="18" s="1"/>
  <c r="O96" i="18" s="1"/>
  <c r="O97" i="18" s="1"/>
  <c r="O98" i="18" s="1"/>
  <c r="O99" i="18" s="1"/>
  <c r="O100" i="18" s="1"/>
  <c r="O101" i="18" s="1"/>
  <c r="O102" i="18" s="1"/>
  <c r="O103" i="18" s="1"/>
  <c r="O104" i="18" s="1"/>
  <c r="O105" i="18" s="1"/>
  <c r="O106" i="18" s="1"/>
  <c r="O107" i="18" s="1"/>
  <c r="O108" i="18" s="1"/>
  <c r="O109" i="18" s="1"/>
  <c r="O110" i="18" s="1"/>
  <c r="O111" i="18" s="1"/>
  <c r="O112" i="18" s="1"/>
  <c r="O113" i="18" s="1"/>
  <c r="O114" i="18" s="1"/>
  <c r="O115" i="18" s="1"/>
  <c r="O116" i="18" s="1"/>
  <c r="O117" i="18" s="1"/>
  <c r="O118" i="18" s="1"/>
  <c r="O119" i="18" s="1"/>
  <c r="O120" i="18" s="1"/>
  <c r="O121" i="18" s="1"/>
  <c r="Q4" i="18"/>
  <c r="Q7" i="18" s="1"/>
  <c r="Q13" i="18" s="1"/>
  <c r="Q15" i="18" s="1"/>
  <c r="L8" i="16"/>
  <c r="L11" i="16" s="1"/>
  <c r="L17" i="16" s="1"/>
  <c r="I4" i="18"/>
  <c r="I7" i="18" s="1"/>
  <c r="I13" i="18" s="1"/>
  <c r="I15"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I55" i="18" s="1"/>
  <c r="I56" i="18" s="1"/>
  <c r="I57" i="18" s="1"/>
  <c r="I58" i="18" s="1"/>
  <c r="I59" i="18" s="1"/>
  <c r="I60" i="18" s="1"/>
  <c r="I61" i="18" s="1"/>
  <c r="I62" i="18" s="1"/>
  <c r="I63" i="18" s="1"/>
  <c r="I64" i="18" s="1"/>
  <c r="I65" i="18" s="1"/>
  <c r="I66" i="18" s="1"/>
  <c r="I67" i="18" s="1"/>
  <c r="I68" i="18" s="1"/>
  <c r="I69" i="18" s="1"/>
  <c r="I70" i="18" s="1"/>
  <c r="I71" i="18" s="1"/>
  <c r="I72" i="18" s="1"/>
  <c r="I73" i="18" s="1"/>
  <c r="I74" i="18" s="1"/>
  <c r="I75" i="18" s="1"/>
  <c r="I76" i="18" s="1"/>
  <c r="I77" i="18" s="1"/>
  <c r="I78" i="18" s="1"/>
  <c r="I79" i="18" s="1"/>
  <c r="I80" i="18" s="1"/>
  <c r="I81" i="18" s="1"/>
  <c r="I82" i="18" s="1"/>
  <c r="I83" i="18" s="1"/>
  <c r="I84" i="18" s="1"/>
  <c r="I85" i="18" s="1"/>
  <c r="I86" i="18" s="1"/>
  <c r="I87" i="18" s="1"/>
  <c r="I88" i="18" s="1"/>
  <c r="I89" i="18" s="1"/>
  <c r="I90" i="18" s="1"/>
  <c r="I91" i="18" s="1"/>
  <c r="I92" i="18" s="1"/>
  <c r="I93" i="18" s="1"/>
  <c r="I94" i="18" s="1"/>
  <c r="I95" i="18" s="1"/>
  <c r="I96" i="18" s="1"/>
  <c r="I97" i="18" s="1"/>
  <c r="I98" i="18" s="1"/>
  <c r="I99" i="18" s="1"/>
  <c r="I100" i="18" s="1"/>
  <c r="I101" i="18" s="1"/>
  <c r="I102" i="18" s="1"/>
  <c r="I103" i="18" s="1"/>
  <c r="I104" i="18" s="1"/>
  <c r="I105" i="18" s="1"/>
  <c r="I106" i="18" s="1"/>
  <c r="I107" i="18" s="1"/>
  <c r="I108" i="18" s="1"/>
  <c r="I109" i="18" s="1"/>
  <c r="I110" i="18" s="1"/>
  <c r="I111" i="18" s="1"/>
  <c r="I112" i="18" s="1"/>
  <c r="I113" i="18" s="1"/>
  <c r="I114" i="18" s="1"/>
  <c r="I115" i="18" s="1"/>
  <c r="I116" i="18" s="1"/>
  <c r="I117" i="18" s="1"/>
  <c r="I118" i="18" s="1"/>
  <c r="I119" i="18" s="1"/>
  <c r="I120" i="18" s="1"/>
  <c r="I121" i="18" s="1"/>
  <c r="M4" i="18"/>
  <c r="M7" i="18" s="1"/>
  <c r="M13" i="18" s="1"/>
  <c r="M15" i="18" s="1"/>
  <c r="P4" i="18"/>
  <c r="P7" i="18" s="1"/>
  <c r="P13" i="18" s="1"/>
  <c r="P15" i="18" s="1"/>
  <c r="P21" i="18" s="1"/>
  <c r="P22" i="18" s="1"/>
  <c r="P23" i="18" s="1"/>
  <c r="P24" i="18" s="1"/>
  <c r="P25" i="18" s="1"/>
  <c r="P26" i="18" s="1"/>
  <c r="P27" i="18" s="1"/>
  <c r="P28" i="18" s="1"/>
  <c r="P29" i="18" s="1"/>
  <c r="P30" i="18" s="1"/>
  <c r="P31" i="18" s="1"/>
  <c r="P32" i="18" s="1"/>
  <c r="P33" i="18" s="1"/>
  <c r="P34" i="18" s="1"/>
  <c r="P35" i="18" s="1"/>
  <c r="P36" i="18" s="1"/>
  <c r="P37" i="18" s="1"/>
  <c r="P38" i="18" s="1"/>
  <c r="P39" i="18" s="1"/>
  <c r="P40" i="18" s="1"/>
  <c r="P41" i="18" s="1"/>
  <c r="P42" i="18" s="1"/>
  <c r="P43" i="18" s="1"/>
  <c r="P44" i="18" s="1"/>
  <c r="P45" i="18" s="1"/>
  <c r="P46" i="18" s="1"/>
  <c r="P47" i="18" s="1"/>
  <c r="P48" i="18" s="1"/>
  <c r="P49" i="18" s="1"/>
  <c r="P50" i="18" s="1"/>
  <c r="P51" i="18" s="1"/>
  <c r="P52" i="18" s="1"/>
  <c r="P53" i="18" s="1"/>
  <c r="P54" i="18" s="1"/>
  <c r="P55" i="18" s="1"/>
  <c r="P56" i="18" s="1"/>
  <c r="P57" i="18" s="1"/>
  <c r="P58" i="18" s="1"/>
  <c r="P59" i="18" s="1"/>
  <c r="P60" i="18" s="1"/>
  <c r="P61" i="18" s="1"/>
  <c r="P62" i="18" s="1"/>
  <c r="P63" i="18" s="1"/>
  <c r="P64" i="18" s="1"/>
  <c r="P65" i="18" s="1"/>
  <c r="P66" i="18" s="1"/>
  <c r="P67" i="18" s="1"/>
  <c r="P68" i="18" s="1"/>
  <c r="P69" i="18" s="1"/>
  <c r="P70" i="18" s="1"/>
  <c r="P71" i="18" s="1"/>
  <c r="P72" i="18" s="1"/>
  <c r="P73" i="18" s="1"/>
  <c r="P74" i="18" s="1"/>
  <c r="P75" i="18" s="1"/>
  <c r="P76" i="18" s="1"/>
  <c r="P77" i="18" s="1"/>
  <c r="P78" i="18" s="1"/>
  <c r="P79" i="18" s="1"/>
  <c r="P80" i="18" s="1"/>
  <c r="P81" i="18" s="1"/>
  <c r="P82" i="18" s="1"/>
  <c r="P83" i="18" s="1"/>
  <c r="P84" i="18" s="1"/>
  <c r="P85" i="18" s="1"/>
  <c r="P86" i="18" s="1"/>
  <c r="P87" i="18" s="1"/>
  <c r="P88" i="18" s="1"/>
  <c r="P89" i="18" s="1"/>
  <c r="P90" i="18" s="1"/>
  <c r="P91" i="18" s="1"/>
  <c r="P92" i="18" s="1"/>
  <c r="P93" i="18" s="1"/>
  <c r="P94" i="18" s="1"/>
  <c r="P95" i="18" s="1"/>
  <c r="P96" i="18" s="1"/>
  <c r="P97" i="18" s="1"/>
  <c r="P98" i="18" s="1"/>
  <c r="P99" i="18" s="1"/>
  <c r="P100" i="18" s="1"/>
  <c r="P101" i="18" s="1"/>
  <c r="P102" i="18" s="1"/>
  <c r="P103" i="18" s="1"/>
  <c r="P104" i="18" s="1"/>
  <c r="P105" i="18" s="1"/>
  <c r="P106" i="18" s="1"/>
  <c r="P107" i="18" s="1"/>
  <c r="P108" i="18" s="1"/>
  <c r="P109" i="18" s="1"/>
  <c r="P110" i="18" s="1"/>
  <c r="P111" i="18" s="1"/>
  <c r="P112" i="18" s="1"/>
  <c r="P113" i="18" s="1"/>
  <c r="P114" i="18" s="1"/>
  <c r="P115" i="18" s="1"/>
  <c r="P116" i="18" s="1"/>
  <c r="P117" i="18" s="1"/>
  <c r="P118" i="18" s="1"/>
  <c r="P119" i="18" s="1"/>
  <c r="P120" i="18" s="1"/>
  <c r="P121" i="18" s="1"/>
  <c r="K4" i="18"/>
  <c r="K7" i="18" s="1"/>
  <c r="K13" i="18" s="1"/>
  <c r="K15" i="18" s="1"/>
  <c r="K21" i="18" s="1"/>
  <c r="K22" i="18" s="1"/>
  <c r="K23" i="18" s="1"/>
  <c r="K24" i="18" s="1"/>
  <c r="K25" i="18" s="1"/>
  <c r="K26" i="18" s="1"/>
  <c r="K27" i="18" s="1"/>
  <c r="K28" i="18" s="1"/>
  <c r="K29" i="18" s="1"/>
  <c r="K30" i="18" s="1"/>
  <c r="K31" i="18" s="1"/>
  <c r="K32" i="18" s="1"/>
  <c r="K33" i="18" s="1"/>
  <c r="K34" i="18" s="1"/>
  <c r="K35" i="18" s="1"/>
  <c r="K36" i="18" s="1"/>
  <c r="K37" i="18" s="1"/>
  <c r="K38" i="18" s="1"/>
  <c r="K39" i="18" s="1"/>
  <c r="K40" i="18" s="1"/>
  <c r="K41" i="18" s="1"/>
  <c r="K42" i="18" s="1"/>
  <c r="K43" i="18" s="1"/>
  <c r="K44" i="18" s="1"/>
  <c r="K45" i="18" s="1"/>
  <c r="K46" i="18" s="1"/>
  <c r="K47" i="18" s="1"/>
  <c r="K48" i="18" s="1"/>
  <c r="K49" i="18" s="1"/>
  <c r="K50" i="18" s="1"/>
  <c r="K51" i="18" s="1"/>
  <c r="K52" i="18" s="1"/>
  <c r="K53" i="18" s="1"/>
  <c r="K54" i="18" s="1"/>
  <c r="K55" i="18" s="1"/>
  <c r="K56" i="18" s="1"/>
  <c r="K57" i="18" s="1"/>
  <c r="K58" i="18" s="1"/>
  <c r="K59" i="18" s="1"/>
  <c r="K60" i="18" s="1"/>
  <c r="K61" i="18" s="1"/>
  <c r="K62" i="18" s="1"/>
  <c r="K63" i="18" s="1"/>
  <c r="K64" i="18" s="1"/>
  <c r="K65" i="18" s="1"/>
  <c r="K66" i="18" s="1"/>
  <c r="K67" i="18" s="1"/>
  <c r="K68" i="18" s="1"/>
  <c r="K69" i="18" s="1"/>
  <c r="K70" i="18" s="1"/>
  <c r="K71" i="18" s="1"/>
  <c r="K72" i="18" s="1"/>
  <c r="K73" i="18" s="1"/>
  <c r="K74" i="18" s="1"/>
  <c r="K75" i="18" s="1"/>
  <c r="K76" i="18" s="1"/>
  <c r="K77" i="18" s="1"/>
  <c r="K78" i="18" s="1"/>
  <c r="K79" i="18" s="1"/>
  <c r="K80" i="18" s="1"/>
  <c r="K81" i="18" s="1"/>
  <c r="K82" i="18" s="1"/>
  <c r="K83" i="18" s="1"/>
  <c r="K84" i="18" s="1"/>
  <c r="K85" i="18" s="1"/>
  <c r="K86" i="18" s="1"/>
  <c r="K87" i="18" s="1"/>
  <c r="K88" i="18" s="1"/>
  <c r="K89" i="18" s="1"/>
  <c r="K90" i="18" s="1"/>
  <c r="K91" i="18" s="1"/>
  <c r="K92" i="18" s="1"/>
  <c r="K93" i="18" s="1"/>
  <c r="K94" i="18" s="1"/>
  <c r="K95" i="18" s="1"/>
  <c r="K96" i="18" s="1"/>
  <c r="K97" i="18" s="1"/>
  <c r="K98" i="18" s="1"/>
  <c r="K99" i="18" s="1"/>
  <c r="K100" i="18" s="1"/>
  <c r="K101" i="18" s="1"/>
  <c r="K102" i="18" s="1"/>
  <c r="K103" i="18" s="1"/>
  <c r="K104" i="18" s="1"/>
  <c r="K105" i="18" s="1"/>
  <c r="K106" i="18" s="1"/>
  <c r="K107" i="18" s="1"/>
  <c r="K108" i="18" s="1"/>
  <c r="K109" i="18" s="1"/>
  <c r="K110" i="18" s="1"/>
  <c r="K111" i="18" s="1"/>
  <c r="K112" i="18" s="1"/>
  <c r="K113" i="18" s="1"/>
  <c r="K114" i="18" s="1"/>
  <c r="K115" i="18" s="1"/>
  <c r="K116" i="18" s="1"/>
  <c r="K117" i="18" s="1"/>
  <c r="K118" i="18" s="1"/>
  <c r="K119" i="18" s="1"/>
  <c r="K120" i="18" s="1"/>
  <c r="K121" i="18" s="1"/>
  <c r="G4" i="18"/>
  <c r="G7" i="18" s="1"/>
  <c r="G13" i="18" s="1"/>
  <c r="G15" i="18" s="1"/>
  <c r="G21" i="18" s="1"/>
  <c r="G22" i="18" s="1"/>
  <c r="X4" i="18"/>
  <c r="X7" i="18" s="1"/>
  <c r="X13" i="18" s="1"/>
  <c r="X15" i="18" s="1"/>
  <c r="X21" i="18" s="1"/>
  <c r="X22" i="18" s="1"/>
  <c r="X23" i="18" s="1"/>
  <c r="X24" i="18" s="1"/>
  <c r="X25" i="18" s="1"/>
  <c r="X26" i="18" s="1"/>
  <c r="X27" i="18" s="1"/>
  <c r="X28" i="18" s="1"/>
  <c r="X29" i="18" s="1"/>
  <c r="X30" i="18" s="1"/>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X107" i="18" s="1"/>
  <c r="X108" i="18" s="1"/>
  <c r="X109" i="18" s="1"/>
  <c r="X110" i="18" s="1"/>
  <c r="X111" i="18" s="1"/>
  <c r="X112" i="18" s="1"/>
  <c r="X113" i="18" s="1"/>
  <c r="X114" i="18" s="1"/>
  <c r="X115" i="18" s="1"/>
  <c r="X116" i="18" s="1"/>
  <c r="X117" i="18" s="1"/>
  <c r="X118" i="18" s="1"/>
  <c r="X119" i="18" s="1"/>
  <c r="X120" i="18" s="1"/>
  <c r="X121" i="18" s="1"/>
  <c r="Z4" i="18"/>
  <c r="Z7" i="18" s="1"/>
  <c r="Z13" i="18" s="1"/>
  <c r="Z15" i="18" s="1"/>
  <c r="W4" i="18"/>
  <c r="W7" i="18" s="1"/>
  <c r="W13" i="18" s="1"/>
  <c r="W15" i="18" s="1"/>
  <c r="W21" i="18" s="1"/>
  <c r="W22" i="18" s="1"/>
  <c r="W23" i="18" s="1"/>
  <c r="W24" i="18" s="1"/>
  <c r="W25" i="18" s="1"/>
  <c r="W26" i="18" s="1"/>
  <c r="W27" i="18" s="1"/>
  <c r="W28" i="18" s="1"/>
  <c r="W29" i="18" s="1"/>
  <c r="W30" i="18" s="1"/>
  <c r="W31" i="18" s="1"/>
  <c r="W32" i="18" s="1"/>
  <c r="W33" i="18" s="1"/>
  <c r="W34" i="18" s="1"/>
  <c r="W35" i="18" s="1"/>
  <c r="W36" i="18" s="1"/>
  <c r="W37" i="18" s="1"/>
  <c r="W38" i="18" s="1"/>
  <c r="W39" i="18" s="1"/>
  <c r="W40" i="18" s="1"/>
  <c r="W41" i="18" s="1"/>
  <c r="W42" i="18" s="1"/>
  <c r="W43" i="18" s="1"/>
  <c r="W44" i="18" s="1"/>
  <c r="W45" i="18" s="1"/>
  <c r="W46" i="18" s="1"/>
  <c r="W47" i="18" s="1"/>
  <c r="W48" i="18" s="1"/>
  <c r="W49" i="18" s="1"/>
  <c r="W50" i="18" s="1"/>
  <c r="W51" i="18" s="1"/>
  <c r="W52" i="18" s="1"/>
  <c r="W53" i="18" s="1"/>
  <c r="W54" i="18" s="1"/>
  <c r="W55" i="18" s="1"/>
  <c r="W56" i="18" s="1"/>
  <c r="W57" i="18" s="1"/>
  <c r="W58" i="18" s="1"/>
  <c r="W59" i="18" s="1"/>
  <c r="W60" i="18" s="1"/>
  <c r="W61" i="18" s="1"/>
  <c r="W62" i="18" s="1"/>
  <c r="W63" i="18" s="1"/>
  <c r="W64" i="18" s="1"/>
  <c r="W65" i="18" s="1"/>
  <c r="W66" i="18" s="1"/>
  <c r="W67" i="18" s="1"/>
  <c r="W68" i="18" s="1"/>
  <c r="W69" i="18" s="1"/>
  <c r="W70" i="18" s="1"/>
  <c r="W71" i="18" s="1"/>
  <c r="W72" i="18" s="1"/>
  <c r="W73" i="18" s="1"/>
  <c r="W74" i="18" s="1"/>
  <c r="W75" i="18" s="1"/>
  <c r="W76" i="18" s="1"/>
  <c r="W77" i="18" s="1"/>
  <c r="W78" i="18" s="1"/>
  <c r="W79" i="18" s="1"/>
  <c r="W80" i="18" s="1"/>
  <c r="W81" i="18" s="1"/>
  <c r="W82" i="18" s="1"/>
  <c r="W83" i="18" s="1"/>
  <c r="W84" i="18" s="1"/>
  <c r="W85" i="18" s="1"/>
  <c r="W86" i="18" s="1"/>
  <c r="W87" i="18" s="1"/>
  <c r="W88" i="18" s="1"/>
  <c r="W89" i="18" s="1"/>
  <c r="W90" i="18" s="1"/>
  <c r="W91" i="18" s="1"/>
  <c r="W92" i="18" s="1"/>
  <c r="W93" i="18" s="1"/>
  <c r="W94" i="18" s="1"/>
  <c r="W95" i="18" s="1"/>
  <c r="W96" i="18" s="1"/>
  <c r="W97" i="18" s="1"/>
  <c r="W98" i="18" s="1"/>
  <c r="W99" i="18" s="1"/>
  <c r="W100" i="18" s="1"/>
  <c r="W101" i="18" s="1"/>
  <c r="W102" i="18" s="1"/>
  <c r="W103" i="18" s="1"/>
  <c r="W104" i="18" s="1"/>
  <c r="W105" i="18" s="1"/>
  <c r="W106" i="18" s="1"/>
  <c r="W107" i="18" s="1"/>
  <c r="W108" i="18" s="1"/>
  <c r="W109" i="18" s="1"/>
  <c r="W110" i="18" s="1"/>
  <c r="W111" i="18" s="1"/>
  <c r="W112" i="18" s="1"/>
  <c r="W113" i="18" s="1"/>
  <c r="W114" i="18" s="1"/>
  <c r="W115" i="18" s="1"/>
  <c r="W116" i="18" s="1"/>
  <c r="W117" i="18" s="1"/>
  <c r="W118" i="18" s="1"/>
  <c r="W119" i="18" s="1"/>
  <c r="W120" i="18" s="1"/>
  <c r="W121" i="18" s="1"/>
  <c r="N4" i="18"/>
  <c r="N7" i="18" s="1"/>
  <c r="N13" i="18" s="1"/>
  <c r="N15" i="18" s="1"/>
  <c r="N21" i="18" s="1"/>
  <c r="N22" i="18" s="1"/>
  <c r="N23" i="18" s="1"/>
  <c r="N24" i="18" s="1"/>
  <c r="N25" i="18" s="1"/>
  <c r="N26" i="18" s="1"/>
  <c r="N27" i="18" s="1"/>
  <c r="N28" i="18" s="1"/>
  <c r="N29" i="18" s="1"/>
  <c r="N30" i="18" s="1"/>
  <c r="N31" i="18" s="1"/>
  <c r="N32" i="18" s="1"/>
  <c r="N33" i="18" s="1"/>
  <c r="N34" i="18" s="1"/>
  <c r="N35" i="18" s="1"/>
  <c r="N36" i="18" s="1"/>
  <c r="N37" i="18" s="1"/>
  <c r="N38" i="18" s="1"/>
  <c r="N39" i="18" s="1"/>
  <c r="N40" i="18" s="1"/>
  <c r="N41" i="18" s="1"/>
  <c r="N42" i="18" s="1"/>
  <c r="N43" i="18" s="1"/>
  <c r="N44" i="18" s="1"/>
  <c r="N45" i="18" s="1"/>
  <c r="N46" i="18" s="1"/>
  <c r="N47" i="18" s="1"/>
  <c r="N48" i="18" s="1"/>
  <c r="N49" i="18" s="1"/>
  <c r="N50" i="18" s="1"/>
  <c r="N51" i="18" s="1"/>
  <c r="N52" i="18" s="1"/>
  <c r="N53" i="18" s="1"/>
  <c r="N54" i="18" s="1"/>
  <c r="N55" i="18" s="1"/>
  <c r="N56" i="18" s="1"/>
  <c r="N57" i="18" s="1"/>
  <c r="N58" i="18" s="1"/>
  <c r="N59" i="18" s="1"/>
  <c r="N60" i="18" s="1"/>
  <c r="N61" i="18" s="1"/>
  <c r="N62" i="18" s="1"/>
  <c r="N63" i="18" s="1"/>
  <c r="N64" i="18" s="1"/>
  <c r="N65" i="18" s="1"/>
  <c r="N66" i="18" s="1"/>
  <c r="N67" i="18" s="1"/>
  <c r="N68" i="18" s="1"/>
  <c r="N69" i="18" s="1"/>
  <c r="N70" i="18" s="1"/>
  <c r="N71" i="18" s="1"/>
  <c r="N72" i="18" s="1"/>
  <c r="N73" i="18" s="1"/>
  <c r="N74" i="18" s="1"/>
  <c r="N75" i="18" s="1"/>
  <c r="N76" i="18" s="1"/>
  <c r="N77" i="18" s="1"/>
  <c r="N78" i="18" s="1"/>
  <c r="N79" i="18" s="1"/>
  <c r="N80" i="18" s="1"/>
  <c r="N81" i="18" s="1"/>
  <c r="N82" i="18" s="1"/>
  <c r="N83" i="18" s="1"/>
  <c r="N84" i="18" s="1"/>
  <c r="N85" i="18" s="1"/>
  <c r="N86" i="18" s="1"/>
  <c r="N87" i="18" s="1"/>
  <c r="N88" i="18" s="1"/>
  <c r="N89" i="18" s="1"/>
  <c r="N90" i="18" s="1"/>
  <c r="N91" i="18" s="1"/>
  <c r="N92" i="18" s="1"/>
  <c r="N93" i="18" s="1"/>
  <c r="N94" i="18" s="1"/>
  <c r="N95" i="18" s="1"/>
  <c r="N96" i="18" s="1"/>
  <c r="N97" i="18" s="1"/>
  <c r="N98" i="18" s="1"/>
  <c r="N99" i="18" s="1"/>
  <c r="N100" i="18" s="1"/>
  <c r="N101" i="18" s="1"/>
  <c r="N102" i="18" s="1"/>
  <c r="N103" i="18" s="1"/>
  <c r="N104" i="18" s="1"/>
  <c r="N105" i="18" s="1"/>
  <c r="N106" i="18" s="1"/>
  <c r="N107" i="18" s="1"/>
  <c r="N108" i="18" s="1"/>
  <c r="N109" i="18" s="1"/>
  <c r="N110" i="18" s="1"/>
  <c r="N111" i="18" s="1"/>
  <c r="N112" i="18" s="1"/>
  <c r="N113" i="18" s="1"/>
  <c r="N114" i="18" s="1"/>
  <c r="N115" i="18" s="1"/>
  <c r="N116" i="18" s="1"/>
  <c r="N117" i="18" s="1"/>
  <c r="N118" i="18" s="1"/>
  <c r="N119" i="18" s="1"/>
  <c r="N120" i="18" s="1"/>
  <c r="N121" i="18" s="1"/>
  <c r="R4" i="18"/>
  <c r="R7" i="18" s="1"/>
  <c r="R13" i="18" s="1"/>
  <c r="R15" i="18" s="1"/>
  <c r="AA8" i="16"/>
  <c r="AA11" i="16" s="1"/>
  <c r="Y105" i="7" s="1"/>
  <c r="N8" i="16"/>
  <c r="N11" i="16" s="1"/>
  <c r="L105" i="7" s="1"/>
  <c r="T8" i="16" l="1"/>
  <c r="T11" i="16" s="1"/>
  <c r="R105" i="7" s="1"/>
  <c r="J105" i="7"/>
  <c r="Z8" i="16"/>
  <c r="Z11" i="16" s="1"/>
  <c r="X105" i="7" s="1"/>
  <c r="X120" i="7" s="1"/>
  <c r="X125" i="7" s="1"/>
  <c r="M8" i="16"/>
  <c r="M11" i="16" s="1"/>
  <c r="M17" i="16" s="1"/>
  <c r="M19" i="16" s="1"/>
  <c r="O8" i="16"/>
  <c r="O11" i="16" s="1"/>
  <c r="M105" i="7" s="1"/>
  <c r="M109" i="7" s="1"/>
  <c r="L19" i="16"/>
  <c r="J106" i="7" s="1"/>
  <c r="F83" i="14"/>
  <c r="AA17" i="16"/>
  <c r="K8" i="16"/>
  <c r="K11" i="16" s="1"/>
  <c r="K17" i="16" s="1"/>
  <c r="AC8" i="16"/>
  <c r="AC11" i="16" s="1"/>
  <c r="AA105" i="7" s="1"/>
  <c r="AA120" i="7" s="1"/>
  <c r="AA125" i="7" s="1"/>
  <c r="W8" i="16"/>
  <c r="W11" i="16" s="1"/>
  <c r="W17" i="16" s="1"/>
  <c r="X8" i="16"/>
  <c r="X11" i="16" s="1"/>
  <c r="V105" i="7" s="1"/>
  <c r="V120" i="7" s="1"/>
  <c r="V125" i="7" s="1"/>
  <c r="T17" i="16"/>
  <c r="Y8" i="16"/>
  <c r="Y11" i="16" s="1"/>
  <c r="W105" i="7" s="1"/>
  <c r="W120" i="7" s="1"/>
  <c r="W125" i="7" s="1"/>
  <c r="P8" i="16"/>
  <c r="P11" i="16" s="1"/>
  <c r="N105" i="7" s="1"/>
  <c r="N109" i="7" s="1"/>
  <c r="S8" i="16"/>
  <c r="S11" i="16" s="1"/>
  <c r="S17" i="16" s="1"/>
  <c r="AB8" i="16"/>
  <c r="AB11" i="16" s="1"/>
  <c r="Z105" i="7" s="1"/>
  <c r="Z109" i="7" s="1"/>
  <c r="Q21" i="18"/>
  <c r="Q22" i="18" s="1"/>
  <c r="Q23" i="18" s="1"/>
  <c r="Q24" i="18" s="1"/>
  <c r="Q25" i="18" s="1"/>
  <c r="Q26" i="18" s="1"/>
  <c r="Q27" i="18" s="1"/>
  <c r="Q28" i="18" s="1"/>
  <c r="Q29" i="18" s="1"/>
  <c r="Q30" i="18" s="1"/>
  <c r="Q31" i="18" s="1"/>
  <c r="Q32" i="18" s="1"/>
  <c r="Q33" i="18" s="1"/>
  <c r="Q34" i="18" s="1"/>
  <c r="Q35" i="18" s="1"/>
  <c r="Q36" i="18" s="1"/>
  <c r="Q37" i="18" s="1"/>
  <c r="Q38" i="18" s="1"/>
  <c r="Q39" i="18" s="1"/>
  <c r="Q40" i="18" s="1"/>
  <c r="Q41" i="18" s="1"/>
  <c r="Q42" i="18" s="1"/>
  <c r="Q43" i="18" s="1"/>
  <c r="Q44" i="18" s="1"/>
  <c r="Q45" i="18" s="1"/>
  <c r="Q46" i="18" s="1"/>
  <c r="Q47" i="18" s="1"/>
  <c r="Q48" i="18" s="1"/>
  <c r="Q49" i="18" s="1"/>
  <c r="Q50" i="18" s="1"/>
  <c r="Q51" i="18" s="1"/>
  <c r="Q52" i="18" s="1"/>
  <c r="Q53" i="18" s="1"/>
  <c r="Q54" i="18" s="1"/>
  <c r="Q55" i="18" s="1"/>
  <c r="Q56" i="18" s="1"/>
  <c r="Q57" i="18" s="1"/>
  <c r="Q58" i="18" s="1"/>
  <c r="Q59" i="18" s="1"/>
  <c r="Q60" i="18" s="1"/>
  <c r="Q61" i="18" s="1"/>
  <c r="Q62" i="18" s="1"/>
  <c r="Q63" i="18" s="1"/>
  <c r="Q64" i="18" s="1"/>
  <c r="Q65" i="18" s="1"/>
  <c r="Q66" i="18" s="1"/>
  <c r="Q67" i="18" s="1"/>
  <c r="Q68" i="18" s="1"/>
  <c r="Q69" i="18" s="1"/>
  <c r="Q70" i="18" s="1"/>
  <c r="Q71" i="18" s="1"/>
  <c r="Q72" i="18" s="1"/>
  <c r="Q73" i="18" s="1"/>
  <c r="Q74" i="18" s="1"/>
  <c r="Q75" i="18" s="1"/>
  <c r="Q76" i="18" s="1"/>
  <c r="Q77" i="18" s="1"/>
  <c r="Q78" i="18" s="1"/>
  <c r="Q79" i="18" s="1"/>
  <c r="Q80" i="18" s="1"/>
  <c r="Q81" i="18" s="1"/>
  <c r="Q82" i="18" s="1"/>
  <c r="Q83" i="18" s="1"/>
  <c r="Q84" i="18" s="1"/>
  <c r="Q85" i="18" s="1"/>
  <c r="Q86" i="18" s="1"/>
  <c r="Q87" i="18" s="1"/>
  <c r="Q88" i="18" s="1"/>
  <c r="Q89" i="18" s="1"/>
  <c r="Q90" i="18" s="1"/>
  <c r="Q91" i="18" s="1"/>
  <c r="Q92" i="18" s="1"/>
  <c r="Q93" i="18" s="1"/>
  <c r="Q94" i="18" s="1"/>
  <c r="Q95" i="18" s="1"/>
  <c r="Q96" i="18" s="1"/>
  <c r="Q97" i="18" s="1"/>
  <c r="Q98" i="18" s="1"/>
  <c r="Q99" i="18" s="1"/>
  <c r="Q100" i="18" s="1"/>
  <c r="Q101" i="18" s="1"/>
  <c r="Q102" i="18" s="1"/>
  <c r="Q103" i="18" s="1"/>
  <c r="Q104" i="18" s="1"/>
  <c r="Q105" i="18" s="1"/>
  <c r="Q106" i="18" s="1"/>
  <c r="Q107" i="18" s="1"/>
  <c r="Q108" i="18" s="1"/>
  <c r="Q109" i="18" s="1"/>
  <c r="Q110" i="18" s="1"/>
  <c r="Q111" i="18" s="1"/>
  <c r="Q112" i="18" s="1"/>
  <c r="Q113" i="18" s="1"/>
  <c r="Q114" i="18" s="1"/>
  <c r="Q115" i="18" s="1"/>
  <c r="Q116" i="18" s="1"/>
  <c r="Q117" i="18" s="1"/>
  <c r="Q118" i="18" s="1"/>
  <c r="Q119" i="18" s="1"/>
  <c r="Q120" i="18" s="1"/>
  <c r="Q121" i="18" s="1"/>
  <c r="U8" i="16"/>
  <c r="U11" i="16" s="1"/>
  <c r="M21" i="18"/>
  <c r="Q8" i="16"/>
  <c r="Q11" i="16" s="1"/>
  <c r="R8" i="16"/>
  <c r="R11" i="16" s="1"/>
  <c r="Z21" i="18"/>
  <c r="Z22" i="18" s="1"/>
  <c r="Z23" i="18" s="1"/>
  <c r="Z24" i="18" s="1"/>
  <c r="Z25" i="18" s="1"/>
  <c r="Z26" i="18" s="1"/>
  <c r="Z27" i="18" s="1"/>
  <c r="Z28" i="18" s="1"/>
  <c r="Z29" i="18" s="1"/>
  <c r="Z30" i="18" s="1"/>
  <c r="Z31" i="18" s="1"/>
  <c r="Z32" i="18" s="1"/>
  <c r="Z33" i="18" s="1"/>
  <c r="Z34" i="18" s="1"/>
  <c r="Z35" i="18" s="1"/>
  <c r="Z36" i="18" s="1"/>
  <c r="Z37" i="18" s="1"/>
  <c r="Z38" i="18" s="1"/>
  <c r="Z39" i="18" s="1"/>
  <c r="Z40" i="18" s="1"/>
  <c r="Z41" i="18" s="1"/>
  <c r="Z42" i="18" s="1"/>
  <c r="Z43" i="18" s="1"/>
  <c r="Z44" i="18" s="1"/>
  <c r="Z45" i="18" s="1"/>
  <c r="Z46" i="18" s="1"/>
  <c r="Z47" i="18" s="1"/>
  <c r="Z48" i="18" s="1"/>
  <c r="Z49" i="18" s="1"/>
  <c r="Z50" i="18" s="1"/>
  <c r="Z51" i="18" s="1"/>
  <c r="Z52" i="18" s="1"/>
  <c r="Z53" i="18" s="1"/>
  <c r="Z54" i="18" s="1"/>
  <c r="Z55" i="18" s="1"/>
  <c r="Z56" i="18" s="1"/>
  <c r="Z57" i="18" s="1"/>
  <c r="Z58" i="18" s="1"/>
  <c r="Z59" i="18" s="1"/>
  <c r="Z60" i="18" s="1"/>
  <c r="Z61" i="18" s="1"/>
  <c r="Z62" i="18" s="1"/>
  <c r="Z63" i="18" s="1"/>
  <c r="Z64" i="18" s="1"/>
  <c r="Z65" i="18" s="1"/>
  <c r="Z66" i="18" s="1"/>
  <c r="Z67" i="18" s="1"/>
  <c r="Z68" i="18" s="1"/>
  <c r="Z69" i="18" s="1"/>
  <c r="Z70" i="18" s="1"/>
  <c r="Z71" i="18" s="1"/>
  <c r="Z72" i="18" s="1"/>
  <c r="Z73" i="18" s="1"/>
  <c r="Z74" i="18" s="1"/>
  <c r="Z75" i="18" s="1"/>
  <c r="Z76" i="18" s="1"/>
  <c r="Z77" i="18" s="1"/>
  <c r="Z78" i="18" s="1"/>
  <c r="Z79" i="18" s="1"/>
  <c r="Z80" i="18" s="1"/>
  <c r="Z81" i="18" s="1"/>
  <c r="Z82" i="18" s="1"/>
  <c r="Z83" i="18" s="1"/>
  <c r="Z84" i="18" s="1"/>
  <c r="Z85" i="18" s="1"/>
  <c r="Z86" i="18" s="1"/>
  <c r="Z87" i="18" s="1"/>
  <c r="Z88" i="18" s="1"/>
  <c r="Z89" i="18" s="1"/>
  <c r="Z90" i="18" s="1"/>
  <c r="Z91" i="18" s="1"/>
  <c r="Z92" i="18" s="1"/>
  <c r="Z93" i="18" s="1"/>
  <c r="Z94" i="18" s="1"/>
  <c r="Z95" i="18" s="1"/>
  <c r="Z96" i="18" s="1"/>
  <c r="Z97" i="18" s="1"/>
  <c r="Z98" i="18" s="1"/>
  <c r="Z99" i="18" s="1"/>
  <c r="Z100" i="18" s="1"/>
  <c r="Z101" i="18" s="1"/>
  <c r="Z102" i="18" s="1"/>
  <c r="Z103" i="18" s="1"/>
  <c r="Z104" i="18" s="1"/>
  <c r="Z105" i="18" s="1"/>
  <c r="Z106" i="18" s="1"/>
  <c r="Z107" i="18" s="1"/>
  <c r="Z108" i="18" s="1"/>
  <c r="Z109" i="18" s="1"/>
  <c r="Z110" i="18" s="1"/>
  <c r="Z111" i="18" s="1"/>
  <c r="Z112" i="18" s="1"/>
  <c r="Z113" i="18" s="1"/>
  <c r="Z114" i="18" s="1"/>
  <c r="Z115" i="18" s="1"/>
  <c r="Z116" i="18" s="1"/>
  <c r="Z117" i="18" s="1"/>
  <c r="Z118" i="18" s="1"/>
  <c r="Z119" i="18" s="1"/>
  <c r="Z120" i="18" s="1"/>
  <c r="Z121" i="18" s="1"/>
  <c r="AD8" i="16"/>
  <c r="AD11" i="16" s="1"/>
  <c r="R21" i="18"/>
  <c r="R22" i="18" s="1"/>
  <c r="R23" i="18" s="1"/>
  <c r="R24" i="18" s="1"/>
  <c r="R25" i="18" s="1"/>
  <c r="R26" i="18" s="1"/>
  <c r="R27" i="18" s="1"/>
  <c r="R28" i="18" s="1"/>
  <c r="R29" i="18" s="1"/>
  <c r="R30" i="18" s="1"/>
  <c r="R31" i="18" s="1"/>
  <c r="R32" i="18" s="1"/>
  <c r="R33" i="18" s="1"/>
  <c r="R34" i="18" s="1"/>
  <c r="R35" i="18" s="1"/>
  <c r="R36" i="18" s="1"/>
  <c r="R37" i="18" s="1"/>
  <c r="R38" i="18" s="1"/>
  <c r="R39" i="18" s="1"/>
  <c r="R40" i="18" s="1"/>
  <c r="R41" i="18" s="1"/>
  <c r="R42" i="18" s="1"/>
  <c r="R43" i="18" s="1"/>
  <c r="R44" i="18" s="1"/>
  <c r="R45" i="18" s="1"/>
  <c r="R46" i="18" s="1"/>
  <c r="R47" i="18" s="1"/>
  <c r="R48" i="18" s="1"/>
  <c r="R49" i="18" s="1"/>
  <c r="R50" i="18" s="1"/>
  <c r="R51" i="18" s="1"/>
  <c r="R52" i="18" s="1"/>
  <c r="R53" i="18" s="1"/>
  <c r="R54" i="18" s="1"/>
  <c r="R55" i="18" s="1"/>
  <c r="R56" i="18" s="1"/>
  <c r="R57" i="18" s="1"/>
  <c r="R58" i="18" s="1"/>
  <c r="R59" i="18" s="1"/>
  <c r="R60" i="18" s="1"/>
  <c r="R61" i="18" s="1"/>
  <c r="R62" i="18" s="1"/>
  <c r="R63" i="18" s="1"/>
  <c r="R64" i="18" s="1"/>
  <c r="R65" i="18" s="1"/>
  <c r="R66" i="18" s="1"/>
  <c r="R67" i="18" s="1"/>
  <c r="R68" i="18" s="1"/>
  <c r="R69" i="18" s="1"/>
  <c r="R70" i="18" s="1"/>
  <c r="R71" i="18" s="1"/>
  <c r="R72" i="18" s="1"/>
  <c r="R73" i="18" s="1"/>
  <c r="R74" i="18" s="1"/>
  <c r="R75" i="18" s="1"/>
  <c r="R76" i="18" s="1"/>
  <c r="R77" i="18" s="1"/>
  <c r="R78" i="18" s="1"/>
  <c r="R79" i="18" s="1"/>
  <c r="R80" i="18" s="1"/>
  <c r="R81" i="18" s="1"/>
  <c r="R82" i="18" s="1"/>
  <c r="R83" i="18" s="1"/>
  <c r="R84" i="18" s="1"/>
  <c r="R85" i="18" s="1"/>
  <c r="R86" i="18" s="1"/>
  <c r="R87" i="18" s="1"/>
  <c r="R88" i="18" s="1"/>
  <c r="R89" i="18" s="1"/>
  <c r="R90" i="18" s="1"/>
  <c r="R91" i="18" s="1"/>
  <c r="R92" i="18" s="1"/>
  <c r="R93" i="18" s="1"/>
  <c r="R94" i="18" s="1"/>
  <c r="R95" i="18" s="1"/>
  <c r="R96" i="18" s="1"/>
  <c r="R97" i="18" s="1"/>
  <c r="R98" i="18" s="1"/>
  <c r="R99" i="18" s="1"/>
  <c r="R100" i="18" s="1"/>
  <c r="R101" i="18" s="1"/>
  <c r="R102" i="18" s="1"/>
  <c r="R103" i="18" s="1"/>
  <c r="R104" i="18" s="1"/>
  <c r="R105" i="18" s="1"/>
  <c r="R106" i="18" s="1"/>
  <c r="R107" i="18" s="1"/>
  <c r="R108" i="18" s="1"/>
  <c r="R109" i="18" s="1"/>
  <c r="R110" i="18" s="1"/>
  <c r="R111" i="18" s="1"/>
  <c r="R112" i="18" s="1"/>
  <c r="R113" i="18" s="1"/>
  <c r="R114" i="18" s="1"/>
  <c r="R115" i="18" s="1"/>
  <c r="R116" i="18" s="1"/>
  <c r="R117" i="18" s="1"/>
  <c r="R118" i="18" s="1"/>
  <c r="R119" i="18" s="1"/>
  <c r="R120" i="18" s="1"/>
  <c r="R121" i="18" s="1"/>
  <c r="V8" i="16"/>
  <c r="V11" i="16" s="1"/>
  <c r="N17" i="16"/>
  <c r="J121" i="7"/>
  <c r="J124" i="7" s="1"/>
  <c r="J120" i="7"/>
  <c r="J125" i="7" s="1"/>
  <c r="J109" i="7"/>
  <c r="M120" i="7"/>
  <c r="M125" i="7" s="1"/>
  <c r="R120" i="7"/>
  <c r="R125" i="7" s="1"/>
  <c r="R109" i="7"/>
  <c r="L120" i="7"/>
  <c r="L125" i="7" s="1"/>
  <c r="L109" i="7"/>
  <c r="AA109" i="7"/>
  <c r="X109" i="7"/>
  <c r="Y120" i="7"/>
  <c r="Y125" i="7" s="1"/>
  <c r="Y109" i="7"/>
  <c r="W109" i="7"/>
  <c r="L21" i="16"/>
  <c r="G23" i="18"/>
  <c r="Q105" i="7" l="1"/>
  <c r="Q109" i="7" s="1"/>
  <c r="V109" i="7"/>
  <c r="K105" i="7"/>
  <c r="K120" i="7" s="1"/>
  <c r="K125" i="7" s="1"/>
  <c r="O17" i="16"/>
  <c r="F86" i="14" s="1"/>
  <c r="N120" i="7"/>
  <c r="N125" i="7" s="1"/>
  <c r="I105" i="7"/>
  <c r="I120" i="7" s="1"/>
  <c r="X17" i="16"/>
  <c r="F95" i="14" s="1"/>
  <c r="Z17" i="16"/>
  <c r="Z19" i="16" s="1"/>
  <c r="U105" i="7"/>
  <c r="U109" i="7" s="1"/>
  <c r="P17" i="16"/>
  <c r="F87" i="14" s="1"/>
  <c r="F84" i="14"/>
  <c r="K106" i="7"/>
  <c r="K121" i="7" s="1"/>
  <c r="K124" i="7" s="1"/>
  <c r="K126" i="7" s="1"/>
  <c r="M21" i="16"/>
  <c r="Z120" i="7"/>
  <c r="Z125" i="7" s="1"/>
  <c r="AB17" i="16"/>
  <c r="AB19" i="16" s="1"/>
  <c r="Y17" i="16"/>
  <c r="F96" i="14" s="1"/>
  <c r="Y30" i="16" s="1"/>
  <c r="Q120" i="7"/>
  <c r="Q125" i="7" s="1"/>
  <c r="AC17" i="16"/>
  <c r="F100" i="14" s="1"/>
  <c r="AA19" i="16"/>
  <c r="F98" i="14"/>
  <c r="K19" i="16"/>
  <c r="I106" i="7" s="1"/>
  <c r="I121" i="7" s="1"/>
  <c r="I124" i="7" s="1"/>
  <c r="F82" i="14"/>
  <c r="N19" i="16"/>
  <c r="L106" i="7" s="1"/>
  <c r="L121" i="7" s="1"/>
  <c r="L124" i="7" s="1"/>
  <c r="L126" i="7" s="1"/>
  <c r="F85" i="14"/>
  <c r="P19" i="16"/>
  <c r="N106" i="7" s="1"/>
  <c r="N121" i="7" s="1"/>
  <c r="N124" i="7" s="1"/>
  <c r="N126" i="7" s="1"/>
  <c r="S19" i="16"/>
  <c r="F90" i="14"/>
  <c r="S30" i="16" s="1"/>
  <c r="T19" i="16"/>
  <c r="R106" i="7" s="1"/>
  <c r="R121" i="7" s="1"/>
  <c r="R124" i="7" s="1"/>
  <c r="R126" i="7" s="1"/>
  <c r="F91" i="14"/>
  <c r="T30" i="16" s="1"/>
  <c r="W19" i="16"/>
  <c r="F94" i="14"/>
  <c r="M22" i="18"/>
  <c r="B21" i="18"/>
  <c r="U17" i="16"/>
  <c r="S105" i="7"/>
  <c r="Q17" i="16"/>
  <c r="O105" i="7"/>
  <c r="AD17" i="16"/>
  <c r="AB105" i="7"/>
  <c r="V17" i="16"/>
  <c r="T105" i="7"/>
  <c r="P105" i="7"/>
  <c r="R17" i="16"/>
  <c r="U120" i="7"/>
  <c r="U125" i="7" s="1"/>
  <c r="K109" i="7"/>
  <c r="I125" i="7"/>
  <c r="J126" i="7"/>
  <c r="J107" i="7"/>
  <c r="K107" i="7"/>
  <c r="G24" i="18"/>
  <c r="O19" i="16" l="1"/>
  <c r="M106" i="7" s="1"/>
  <c r="M121" i="7" s="1"/>
  <c r="M124" i="7" s="1"/>
  <c r="M126" i="7" s="1"/>
  <c r="F97" i="14"/>
  <c r="Z30" i="16" s="1"/>
  <c r="X19" i="16"/>
  <c r="V106" i="7" s="1"/>
  <c r="V121" i="7" s="1"/>
  <c r="V124" i="7" s="1"/>
  <c r="V126" i="7" s="1"/>
  <c r="I109" i="7"/>
  <c r="Y19" i="16"/>
  <c r="W106" i="7" s="1"/>
  <c r="W121" i="7" s="1"/>
  <c r="W124" i="7" s="1"/>
  <c r="W126" i="7" s="1"/>
  <c r="AC19" i="16"/>
  <c r="AA106" i="7" s="1"/>
  <c r="AA121" i="7" s="1"/>
  <c r="AA124" i="7" s="1"/>
  <c r="AA126" i="7" s="1"/>
  <c r="F99" i="14"/>
  <c r="Z106" i="7"/>
  <c r="Z121" i="7" s="1"/>
  <c r="Z124" i="7" s="1"/>
  <c r="Z126" i="7" s="1"/>
  <c r="AB21" i="16"/>
  <c r="Z107" i="7" s="1"/>
  <c r="Z122" i="7" s="1"/>
  <c r="I126" i="7"/>
  <c r="N21" i="16"/>
  <c r="L107" i="7" s="1"/>
  <c r="K21" i="16"/>
  <c r="I107" i="7" s="1"/>
  <c r="I122" i="7" s="1"/>
  <c r="O21" i="16"/>
  <c r="M107" i="7" s="1"/>
  <c r="M122" i="7" s="1"/>
  <c r="P21" i="16"/>
  <c r="N107" i="7" s="1"/>
  <c r="N122" i="7" s="1"/>
  <c r="Y106" i="7"/>
  <c r="Y121" i="7" s="1"/>
  <c r="Y124" i="7" s="1"/>
  <c r="Y126" i="7" s="1"/>
  <c r="AA21" i="16"/>
  <c r="Y107" i="7" s="1"/>
  <c r="Y122" i="7" s="1"/>
  <c r="X106" i="7"/>
  <c r="X121" i="7" s="1"/>
  <c r="X124" i="7" s="1"/>
  <c r="X126" i="7" s="1"/>
  <c r="Z21" i="16"/>
  <c r="X107" i="7" s="1"/>
  <c r="X122" i="7" s="1"/>
  <c r="T21" i="16"/>
  <c r="R107" i="7" s="1"/>
  <c r="R122" i="7" s="1"/>
  <c r="AD19" i="16"/>
  <c r="AB106" i="7" s="1"/>
  <c r="AB121" i="7" s="1"/>
  <c r="AB124" i="7" s="1"/>
  <c r="F101" i="14"/>
  <c r="R19" i="16"/>
  <c r="P106" i="7" s="1"/>
  <c r="P121" i="7" s="1"/>
  <c r="P124" i="7" s="1"/>
  <c r="F89" i="14"/>
  <c r="R30" i="16" s="1"/>
  <c r="V19" i="16"/>
  <c r="T106" i="7" s="1"/>
  <c r="T121" i="7" s="1"/>
  <c r="T124" i="7" s="1"/>
  <c r="F93" i="14"/>
  <c r="Q19" i="16"/>
  <c r="O106" i="7" s="1"/>
  <c r="O121" i="7" s="1"/>
  <c r="O124" i="7" s="1"/>
  <c r="F88" i="14"/>
  <c r="Q30" i="16" s="1"/>
  <c r="U19" i="16"/>
  <c r="S106" i="7" s="1"/>
  <c r="S121" i="7" s="1"/>
  <c r="S124" i="7" s="1"/>
  <c r="F92" i="14"/>
  <c r="U30" i="16" s="1"/>
  <c r="U106" i="7"/>
  <c r="U121" i="7" s="1"/>
  <c r="U124" i="7" s="1"/>
  <c r="U126" i="7" s="1"/>
  <c r="W21" i="16"/>
  <c r="U107" i="7" s="1"/>
  <c r="U122" i="7" s="1"/>
  <c r="Q106" i="7"/>
  <c r="Q121" i="7" s="1"/>
  <c r="Q124" i="7" s="1"/>
  <c r="Q126" i="7" s="1"/>
  <c r="S21" i="16"/>
  <c r="Q107" i="7" s="1"/>
  <c r="Q122" i="7" s="1"/>
  <c r="M23" i="18"/>
  <c r="B22" i="18"/>
  <c r="O109" i="7"/>
  <c r="O120" i="7"/>
  <c r="O125" i="7" s="1"/>
  <c r="S120" i="7"/>
  <c r="S125" i="7" s="1"/>
  <c r="S109" i="7"/>
  <c r="AB120" i="7"/>
  <c r="AB125" i="7" s="1"/>
  <c r="AB109" i="7"/>
  <c r="T109" i="7"/>
  <c r="T120" i="7"/>
  <c r="T125" i="7" s="1"/>
  <c r="V21" i="16"/>
  <c r="T107" i="7" s="1"/>
  <c r="T122" i="7" s="1"/>
  <c r="P120" i="7"/>
  <c r="P125" i="7" s="1"/>
  <c r="P109" i="7"/>
  <c r="K122" i="7"/>
  <c r="L122" i="7"/>
  <c r="J122" i="7"/>
  <c r="G25" i="18"/>
  <c r="X21" i="16" l="1"/>
  <c r="V107" i="7" s="1"/>
  <c r="V122" i="7" s="1"/>
  <c r="AC21" i="16"/>
  <c r="AA107" i="7" s="1"/>
  <c r="AA122" i="7" s="1"/>
  <c r="Y21" i="16"/>
  <c r="W107" i="7" s="1"/>
  <c r="W122" i="7" s="1"/>
  <c r="AD21" i="16"/>
  <c r="AB107" i="7" s="1"/>
  <c r="AB122" i="7" s="1"/>
  <c r="R21" i="16"/>
  <c r="P107" i="7" s="1"/>
  <c r="P122" i="7" s="1"/>
  <c r="U21" i="16"/>
  <c r="S107" i="7" s="1"/>
  <c r="S122" i="7" s="1"/>
  <c r="Q21" i="16"/>
  <c r="O107" i="7" s="1"/>
  <c r="O122" i="7" s="1"/>
  <c r="P126" i="7"/>
  <c r="M24" i="18"/>
  <c r="B23" i="18"/>
  <c r="O126" i="7"/>
  <c r="S126" i="7"/>
  <c r="AB126" i="7"/>
  <c r="T126" i="7"/>
  <c r="G26" i="18"/>
  <c r="M25" i="18" l="1"/>
  <c r="B24" i="18"/>
  <c r="G27" i="18"/>
  <c r="M26" i="18" l="1"/>
  <c r="B25" i="18"/>
  <c r="G28" i="18"/>
  <c r="M27" i="18" l="1"/>
  <c r="B26" i="18"/>
  <c r="G29" i="18"/>
  <c r="M28" i="18" l="1"/>
  <c r="B27" i="18"/>
  <c r="G30" i="18"/>
  <c r="M29" i="18" l="1"/>
  <c r="B28" i="18"/>
  <c r="G31" i="18"/>
  <c r="M30" i="18" l="1"/>
  <c r="B29" i="18"/>
  <c r="G32" i="18"/>
  <c r="M31" i="18" l="1"/>
  <c r="B30" i="18"/>
  <c r="G33" i="18"/>
  <c r="M32" i="18" l="1"/>
  <c r="B31" i="18"/>
  <c r="G34" i="18"/>
  <c r="M33" i="18" l="1"/>
  <c r="B32" i="18"/>
  <c r="G35" i="18"/>
  <c r="M34" i="18" l="1"/>
  <c r="B33" i="18"/>
  <c r="G36" i="18"/>
  <c r="M35" i="18" l="1"/>
  <c r="B34" i="18"/>
  <c r="G37" i="18"/>
  <c r="M36" i="18" l="1"/>
  <c r="B35" i="18"/>
  <c r="G38" i="18"/>
  <c r="M37" i="18" l="1"/>
  <c r="B36" i="18"/>
  <c r="G39" i="18"/>
  <c r="M38" i="18" l="1"/>
  <c r="B37" i="18"/>
  <c r="G40" i="18"/>
  <c r="M39" i="18" l="1"/>
  <c r="B38" i="18"/>
  <c r="G41" i="18"/>
  <c r="M40" i="18" l="1"/>
  <c r="B39" i="18"/>
  <c r="G42" i="18"/>
  <c r="M41" i="18" l="1"/>
  <c r="B40" i="18"/>
  <c r="G43" i="18"/>
  <c r="M42" i="18" l="1"/>
  <c r="B41" i="18"/>
  <c r="G44" i="18"/>
  <c r="M43" i="18" l="1"/>
  <c r="B42" i="18"/>
  <c r="G45" i="18"/>
  <c r="M44" i="18" l="1"/>
  <c r="B43" i="18"/>
  <c r="G46" i="18"/>
  <c r="M45" i="18" l="1"/>
  <c r="B44" i="18"/>
  <c r="G47" i="18"/>
  <c r="M46" i="18" l="1"/>
  <c r="B45" i="18"/>
  <c r="G48" i="18"/>
  <c r="M47" i="18" l="1"/>
  <c r="B46" i="18"/>
  <c r="G49" i="18"/>
  <c r="M48" i="18" l="1"/>
  <c r="B47" i="18"/>
  <c r="G50" i="18"/>
  <c r="M49" i="18" l="1"/>
  <c r="B48" i="18"/>
  <c r="G51" i="18"/>
  <c r="M50" i="18" l="1"/>
  <c r="B49" i="18"/>
  <c r="G52" i="18"/>
  <c r="M51" i="18" l="1"/>
  <c r="B50" i="18"/>
  <c r="G53" i="18"/>
  <c r="M52" i="18" l="1"/>
  <c r="B51" i="18"/>
  <c r="G54" i="18"/>
  <c r="M53" i="18" l="1"/>
  <c r="B52" i="18"/>
  <c r="G55" i="18"/>
  <c r="M54" i="18" l="1"/>
  <c r="B53" i="18"/>
  <c r="G56" i="18"/>
  <c r="M55" i="18" l="1"/>
  <c r="B54" i="18"/>
  <c r="G57" i="18"/>
  <c r="M56" i="18" l="1"/>
  <c r="B55" i="18"/>
  <c r="G58" i="18"/>
  <c r="M57" i="18" l="1"/>
  <c r="B56" i="18"/>
  <c r="G59" i="18"/>
  <c r="M58" i="18" l="1"/>
  <c r="B57" i="18"/>
  <c r="G60" i="18"/>
  <c r="M59" i="18" l="1"/>
  <c r="B58" i="18"/>
  <c r="G61" i="18"/>
  <c r="M60" i="18" l="1"/>
  <c r="B59" i="18"/>
  <c r="G62" i="18"/>
  <c r="M61" i="18" l="1"/>
  <c r="B60" i="18"/>
  <c r="G63" i="18"/>
  <c r="M62" i="18" l="1"/>
  <c r="B61" i="18"/>
  <c r="G64" i="18"/>
  <c r="M63" i="18" l="1"/>
  <c r="B62" i="18"/>
  <c r="G65" i="18"/>
  <c r="M64" i="18" l="1"/>
  <c r="B63" i="18"/>
  <c r="G66" i="18"/>
  <c r="M65" i="18" l="1"/>
  <c r="B64" i="18"/>
  <c r="G67" i="18"/>
  <c r="M66" i="18" l="1"/>
  <c r="B65" i="18"/>
  <c r="G68" i="18"/>
  <c r="M67" i="18" l="1"/>
  <c r="B66" i="18"/>
  <c r="G69" i="18"/>
  <c r="M68" i="18" l="1"/>
  <c r="B67" i="18"/>
  <c r="G70" i="18"/>
  <c r="M69" i="18" l="1"/>
  <c r="B68" i="18"/>
  <c r="G71" i="18"/>
  <c r="M70" i="18" l="1"/>
  <c r="B69" i="18"/>
  <c r="G72" i="18"/>
  <c r="M71" i="18" l="1"/>
  <c r="B70" i="18"/>
  <c r="G73" i="18"/>
  <c r="M72" i="18" l="1"/>
  <c r="B71" i="18"/>
  <c r="G74" i="18"/>
  <c r="M73" i="18" l="1"/>
  <c r="B72" i="18"/>
  <c r="G75" i="18"/>
  <c r="M74" i="18" l="1"/>
  <c r="B73" i="18"/>
  <c r="G76" i="18"/>
  <c r="M75" i="18" l="1"/>
  <c r="B74" i="18"/>
  <c r="G77" i="18"/>
  <c r="M76" i="18" l="1"/>
  <c r="B75" i="18"/>
  <c r="G78" i="18"/>
  <c r="M77" i="18" l="1"/>
  <c r="B76" i="18"/>
  <c r="G79" i="18"/>
  <c r="M78" i="18" l="1"/>
  <c r="B77" i="18"/>
  <c r="G80" i="18"/>
  <c r="M79" i="18" l="1"/>
  <c r="B78" i="18"/>
  <c r="G81" i="18"/>
  <c r="M80" i="18" l="1"/>
  <c r="B79" i="18"/>
  <c r="G82" i="18"/>
  <c r="M81" i="18" l="1"/>
  <c r="B80" i="18"/>
  <c r="G83" i="18"/>
  <c r="M82" i="18" l="1"/>
  <c r="B81" i="18"/>
  <c r="G84" i="18"/>
  <c r="M83" i="18" l="1"/>
  <c r="B82" i="18"/>
  <c r="G85" i="18"/>
  <c r="M84" i="18" l="1"/>
  <c r="B83" i="18"/>
  <c r="G86" i="18"/>
  <c r="M85" i="18" l="1"/>
  <c r="B84" i="18"/>
  <c r="G87" i="18"/>
  <c r="M86" i="18" l="1"/>
  <c r="B85" i="18"/>
  <c r="G88" i="18"/>
  <c r="M87" i="18" l="1"/>
  <c r="B86" i="18"/>
  <c r="G89" i="18"/>
  <c r="M88" i="18" l="1"/>
  <c r="B87" i="18"/>
  <c r="G90" i="18"/>
  <c r="M89" i="18" l="1"/>
  <c r="B88" i="18"/>
  <c r="G91" i="18"/>
  <c r="M90" i="18" l="1"/>
  <c r="B89" i="18"/>
  <c r="G92" i="18"/>
  <c r="M91" i="18" l="1"/>
  <c r="B90" i="18"/>
  <c r="G93" i="18"/>
  <c r="M92" i="18" l="1"/>
  <c r="B91" i="18"/>
  <c r="G94" i="18"/>
  <c r="M93" i="18" l="1"/>
  <c r="B92" i="18"/>
  <c r="G95" i="18"/>
  <c r="M94" i="18" l="1"/>
  <c r="B93" i="18"/>
  <c r="G96" i="18"/>
  <c r="M95" i="18" l="1"/>
  <c r="B94" i="18"/>
  <c r="G97" i="18"/>
  <c r="M96" i="18" l="1"/>
  <c r="B95" i="18"/>
  <c r="G98" i="18"/>
  <c r="M97" i="18" l="1"/>
  <c r="B96" i="18"/>
  <c r="G99" i="18"/>
  <c r="M98" i="18" l="1"/>
  <c r="B97" i="18"/>
  <c r="G100" i="18"/>
  <c r="M99" i="18" l="1"/>
  <c r="B98" i="18"/>
  <c r="G101" i="18"/>
  <c r="M100" i="18" l="1"/>
  <c r="B99" i="18"/>
  <c r="G102" i="18"/>
  <c r="M101" i="18" l="1"/>
  <c r="B100" i="18"/>
  <c r="G103" i="18"/>
  <c r="M102" i="18" l="1"/>
  <c r="B101" i="18"/>
  <c r="G104" i="18"/>
  <c r="M103" i="18" l="1"/>
  <c r="B102" i="18"/>
  <c r="G105" i="18"/>
  <c r="M104" i="18" l="1"/>
  <c r="B103" i="18"/>
  <c r="G106" i="18"/>
  <c r="M105" i="18" l="1"/>
  <c r="B104" i="18"/>
  <c r="G107" i="18"/>
  <c r="M106" i="18" l="1"/>
  <c r="B105" i="18"/>
  <c r="G108" i="18"/>
  <c r="M107" i="18" l="1"/>
  <c r="B106" i="18"/>
  <c r="G109" i="18"/>
  <c r="M108" i="18" l="1"/>
  <c r="B107" i="18"/>
  <c r="G110" i="18"/>
  <c r="M109" i="18" l="1"/>
  <c r="B108" i="18"/>
  <c r="G111" i="18"/>
  <c r="M110" i="18" l="1"/>
  <c r="B109" i="18"/>
  <c r="G112" i="18"/>
  <c r="M111" i="18" l="1"/>
  <c r="B110" i="18"/>
  <c r="G113" i="18"/>
  <c r="M112" i="18" l="1"/>
  <c r="B111" i="18"/>
  <c r="G114" i="18"/>
  <c r="M113" i="18" l="1"/>
  <c r="B112" i="18"/>
  <c r="G115" i="18"/>
  <c r="M114" i="18" l="1"/>
  <c r="B113" i="18"/>
  <c r="G116" i="18"/>
  <c r="M115" i="18" l="1"/>
  <c r="B114" i="18"/>
  <c r="G117" i="18"/>
  <c r="M116" i="18" l="1"/>
  <c r="B115" i="18"/>
  <c r="G118" i="18"/>
  <c r="M117" i="18" l="1"/>
  <c r="B116" i="18"/>
  <c r="G119" i="18"/>
  <c r="M118" i="18" l="1"/>
  <c r="B117" i="18"/>
  <c r="G120" i="18"/>
  <c r="M119" i="18" l="1"/>
  <c r="B118" i="18"/>
  <c r="G121" i="18"/>
  <c r="M120" i="18" l="1"/>
  <c r="B119" i="18"/>
  <c r="I28" i="4"/>
  <c r="I38" i="4" s="1"/>
  <c r="E8" i="15"/>
  <c r="M121" i="18" l="1"/>
  <c r="B121" i="18" s="1"/>
  <c r="B120" i="18"/>
  <c r="L38" i="4"/>
  <c r="E7" i="15"/>
  <c r="I6" i="14" s="1"/>
  <c r="J9" i="14" s="1"/>
  <c r="J21" i="14" s="1"/>
  <c r="J31" i="16" s="1"/>
  <c r="N28" i="4"/>
  <c r="E9" i="15"/>
  <c r="J29" i="14" s="1"/>
  <c r="I26" i="14"/>
  <c r="J28" i="14" s="1"/>
  <c r="C12" i="15"/>
  <c r="J39" i="14" l="1"/>
  <c r="H14" i="15"/>
  <c r="C17" i="15"/>
  <c r="J32" i="16" l="1"/>
  <c r="J33" i="16" s="1"/>
  <c r="D17" i="15"/>
  <c r="E17" i="15" l="1"/>
  <c r="E42" i="15" s="1"/>
  <c r="E41" i="15"/>
  <c r="G17" i="15"/>
  <c r="I108" i="7" l="1"/>
  <c r="I114" i="7" s="1"/>
  <c r="I115" i="7" s="1"/>
  <c r="K22" i="16" s="1"/>
  <c r="K23" i="16" s="1"/>
  <c r="I123" i="7" s="1"/>
  <c r="F17" i="15"/>
  <c r="C18" i="15" s="1"/>
  <c r="D18" i="15" s="1"/>
  <c r="H17" i="15"/>
  <c r="I129" i="7" l="1"/>
  <c r="I130" i="7" s="1"/>
  <c r="K24" i="16" s="1"/>
  <c r="K25" i="16" s="1"/>
  <c r="H82" i="14" s="1"/>
  <c r="F41" i="15"/>
  <c r="E18" i="15"/>
  <c r="F42" i="15" s="1"/>
  <c r="G18" i="15"/>
  <c r="J108" i="7" l="1"/>
  <c r="J114" i="7" s="1"/>
  <c r="J115" i="7" s="1"/>
  <c r="L22" i="16" s="1"/>
  <c r="L23" i="16" s="1"/>
  <c r="H18" i="15"/>
  <c r="F18" i="15"/>
  <c r="C19" i="15" s="1"/>
  <c r="J123" i="7" l="1"/>
  <c r="J129" i="7" s="1"/>
  <c r="J130" i="7" s="1"/>
  <c r="L24" i="16" s="1"/>
  <c r="L25" i="16" s="1"/>
  <c r="H83" i="14" s="1"/>
  <c r="D19" i="15"/>
  <c r="G41" i="15" l="1"/>
  <c r="E19" i="15"/>
  <c r="G42" i="15" s="1"/>
  <c r="G19" i="15"/>
  <c r="K108" i="7" l="1"/>
  <c r="K114" i="7" s="1"/>
  <c r="K115" i="7" s="1"/>
  <c r="M22" i="16" s="1"/>
  <c r="M23" i="16" s="1"/>
  <c r="F19" i="15"/>
  <c r="C20" i="15" s="1"/>
  <c r="H19" i="15"/>
  <c r="K123" i="7" l="1"/>
  <c r="K129" i="7" s="1"/>
  <c r="K130" i="7" s="1"/>
  <c r="M24" i="16" s="1"/>
  <c r="M25" i="16" s="1"/>
  <c r="H84" i="14" s="1"/>
  <c r="D20" i="15"/>
  <c r="H41" i="15" l="1"/>
  <c r="E20" i="15"/>
  <c r="H42" i="15" s="1"/>
  <c r="G20" i="15"/>
  <c r="L108" i="7" l="1"/>
  <c r="L114" i="7" s="1"/>
  <c r="L115" i="7" s="1"/>
  <c r="N22" i="16" s="1"/>
  <c r="N23" i="16" s="1"/>
  <c r="L123" i="7" s="1"/>
  <c r="L129" i="7" s="1"/>
  <c r="L130" i="7" s="1"/>
  <c r="N24" i="16" s="1"/>
  <c r="N25" i="16" s="1"/>
  <c r="H85" i="14" s="1"/>
  <c r="H20" i="15"/>
  <c r="F20" i="15"/>
  <c r="C21" i="15" s="1"/>
  <c r="D21" i="15" l="1"/>
  <c r="I41" i="15" l="1"/>
  <c r="E21" i="15"/>
  <c r="I42" i="15" s="1"/>
  <c r="G21" i="15"/>
  <c r="M108" i="7" l="1"/>
  <c r="M114" i="7" s="1"/>
  <c r="M115" i="7" s="1"/>
  <c r="O22" i="16" s="1"/>
  <c r="O23" i="16" s="1"/>
  <c r="H21" i="15"/>
  <c r="F21" i="15"/>
  <c r="C22" i="15" s="1"/>
  <c r="M123" i="7" l="1"/>
  <c r="M129" i="7" s="1"/>
  <c r="M130" i="7" s="1"/>
  <c r="O24" i="16" s="1"/>
  <c r="O25" i="16" s="1"/>
  <c r="H86" i="14" s="1"/>
  <c r="D22" i="15"/>
  <c r="J41" i="15" l="1"/>
  <c r="E22" i="15"/>
  <c r="J42" i="15" s="1"/>
  <c r="G22" i="15"/>
  <c r="N108" i="7" l="1"/>
  <c r="N114" i="7" s="1"/>
  <c r="N115" i="7" s="1"/>
  <c r="P22" i="16" s="1"/>
  <c r="P23" i="16" s="1"/>
  <c r="H22" i="15"/>
  <c r="F22" i="15"/>
  <c r="C23" i="15" s="1"/>
  <c r="N123" i="7" l="1"/>
  <c r="N129" i="7" s="1"/>
  <c r="N130" i="7" s="1"/>
  <c r="P24" i="16" s="1"/>
  <c r="P25" i="16" s="1"/>
  <c r="H87" i="14" s="1"/>
  <c r="D23" i="15"/>
  <c r="K41" i="15" l="1"/>
  <c r="E23" i="15"/>
  <c r="K42" i="15" s="1"/>
  <c r="G23" i="15"/>
  <c r="O108" i="7" l="1"/>
  <c r="O114" i="7" s="1"/>
  <c r="O115" i="7" s="1"/>
  <c r="Q22" i="16" s="1"/>
  <c r="Q23" i="16" s="1"/>
  <c r="H23" i="15"/>
  <c r="F23" i="15"/>
  <c r="C24" i="15" s="1"/>
  <c r="O123" i="7" l="1"/>
  <c r="O129" i="7" s="1"/>
  <c r="O130" i="7" s="1"/>
  <c r="Q24" i="16" s="1"/>
  <c r="Q25" i="16" s="1"/>
  <c r="H88" i="14" s="1"/>
  <c r="D24" i="15"/>
  <c r="L41" i="15" l="1"/>
  <c r="E24" i="15"/>
  <c r="L42" i="15" s="1"/>
  <c r="G24" i="15"/>
  <c r="P108" i="7" l="1"/>
  <c r="P114" i="7" s="1"/>
  <c r="P115" i="7" s="1"/>
  <c r="R22" i="16" s="1"/>
  <c r="R23" i="16" s="1"/>
  <c r="H24" i="15"/>
  <c r="F24" i="15"/>
  <c r="C25" i="15" s="1"/>
  <c r="P123" i="7" l="1"/>
  <c r="P129" i="7" s="1"/>
  <c r="P130" i="7" s="1"/>
  <c r="R24" i="16" s="1"/>
  <c r="R25" i="16" s="1"/>
  <c r="H89" i="14" s="1"/>
  <c r="R32" i="16" s="1"/>
  <c r="D25" i="15"/>
  <c r="M41" i="15" l="1"/>
  <c r="E25" i="15"/>
  <c r="M42" i="15" s="1"/>
  <c r="G25" i="15"/>
  <c r="Q108" i="7" l="1"/>
  <c r="Q114" i="7" s="1"/>
  <c r="Q115" i="7" s="1"/>
  <c r="S22" i="16" s="1"/>
  <c r="S23" i="16" s="1"/>
  <c r="H25" i="15"/>
  <c r="F25" i="15"/>
  <c r="C26" i="15" s="1"/>
  <c r="Q123" i="7" l="1"/>
  <c r="Q129" i="7" s="1"/>
  <c r="Q130" i="7" s="1"/>
  <c r="S24" i="16" s="1"/>
  <c r="S25" i="16" s="1"/>
  <c r="D26" i="15"/>
  <c r="S35" i="16" l="1"/>
  <c r="H90" i="14"/>
  <c r="S32" i="16" s="1"/>
  <c r="N41" i="15"/>
  <c r="E26" i="15"/>
  <c r="N42" i="15" s="1"/>
  <c r="G26" i="15"/>
  <c r="R108" i="7" l="1"/>
  <c r="R114" i="7" s="1"/>
  <c r="R115" i="7" s="1"/>
  <c r="T22" i="16" s="1"/>
  <c r="T23" i="16" s="1"/>
  <c r="F26" i="15"/>
  <c r="C27" i="15" s="1"/>
  <c r="H26" i="15"/>
  <c r="R123" i="7" l="1"/>
  <c r="R129" i="7" s="1"/>
  <c r="R130" i="7" s="1"/>
  <c r="T24" i="16" s="1"/>
  <c r="T25" i="16" s="1"/>
  <c r="H91" i="14" s="1"/>
  <c r="T32" i="16" s="1"/>
  <c r="D27" i="15"/>
  <c r="O41" i="15" l="1"/>
  <c r="E27" i="15"/>
  <c r="O42" i="15" s="1"/>
  <c r="G27" i="15"/>
  <c r="S108" i="7" l="1"/>
  <c r="S114" i="7" s="1"/>
  <c r="S115" i="7" s="1"/>
  <c r="U22" i="16" s="1"/>
  <c r="U23" i="16" s="1"/>
  <c r="H27" i="15"/>
  <c r="F27" i="15"/>
  <c r="C28" i="15" s="1"/>
  <c r="S123" i="7" l="1"/>
  <c r="S129" i="7" s="1"/>
  <c r="S130" i="7" s="1"/>
  <c r="U24" i="16" s="1"/>
  <c r="U25" i="16" s="1"/>
  <c r="H92" i="14" s="1"/>
  <c r="U32" i="16" s="1"/>
  <c r="D28" i="15"/>
  <c r="P41" i="15" l="1"/>
  <c r="E28" i="15"/>
  <c r="P42" i="15" s="1"/>
  <c r="G28" i="15"/>
  <c r="T108" i="7" l="1"/>
  <c r="T114" i="7" s="1"/>
  <c r="T115" i="7" s="1"/>
  <c r="V22" i="16" s="1"/>
  <c r="V23" i="16" s="1"/>
  <c r="T123" i="7" s="1"/>
  <c r="T129" i="7" s="1"/>
  <c r="T130" i="7" s="1"/>
  <c r="V24" i="16" s="1"/>
  <c r="V25" i="16" s="1"/>
  <c r="H93" i="14" s="1"/>
  <c r="H28" i="15"/>
  <c r="F28" i="15"/>
  <c r="C29" i="15" s="1"/>
  <c r="D29" i="15" l="1"/>
  <c r="Q41" i="15" l="1"/>
  <c r="E29" i="15"/>
  <c r="Q42" i="15" s="1"/>
  <c r="G29" i="15"/>
  <c r="U108" i="7" l="1"/>
  <c r="U114" i="7" s="1"/>
  <c r="U115" i="7" s="1"/>
  <c r="W22" i="16" s="1"/>
  <c r="W23" i="16" s="1"/>
  <c r="H29" i="15"/>
  <c r="F29" i="15"/>
  <c r="C30" i="15" s="1"/>
  <c r="U123" i="7" l="1"/>
  <c r="U129" i="7" s="1"/>
  <c r="U130" i="7" s="1"/>
  <c r="W24" i="16" s="1"/>
  <c r="W25" i="16" s="1"/>
  <c r="H94" i="14" s="1"/>
  <c r="D30" i="15"/>
  <c r="R41" i="15" l="1"/>
  <c r="E30" i="15"/>
  <c r="R42" i="15" s="1"/>
  <c r="G30" i="15"/>
  <c r="V108" i="7" l="1"/>
  <c r="V114" i="7" s="1"/>
  <c r="V115" i="7" s="1"/>
  <c r="X22" i="16" s="1"/>
  <c r="X23" i="16" s="1"/>
  <c r="V123" i="7" s="1"/>
  <c r="V129" i="7" s="1"/>
  <c r="V130" i="7" s="1"/>
  <c r="X24" i="16" s="1"/>
  <c r="X25" i="16" s="1"/>
  <c r="H95" i="14" s="1"/>
  <c r="H30" i="15"/>
  <c r="F30" i="15"/>
  <c r="C31" i="15" s="1"/>
  <c r="D31" i="15" l="1"/>
  <c r="S41" i="15" l="1"/>
  <c r="E31" i="15"/>
  <c r="S42" i="15" s="1"/>
  <c r="G31" i="15"/>
  <c r="W108" i="7" l="1"/>
  <c r="W114" i="7" s="1"/>
  <c r="W115" i="7" s="1"/>
  <c r="Y22" i="16" s="1"/>
  <c r="Y23" i="16" s="1"/>
  <c r="W123" i="7" s="1"/>
  <c r="W129" i="7" s="1"/>
  <c r="W130" i="7" s="1"/>
  <c r="Y24" i="16" s="1"/>
  <c r="Y25" i="16" s="1"/>
  <c r="H96" i="14" s="1"/>
  <c r="H31" i="15"/>
  <c r="F31" i="15"/>
  <c r="C32" i="15" s="1"/>
  <c r="D32" i="15" l="1"/>
  <c r="T41" i="15" l="1"/>
  <c r="E32" i="15"/>
  <c r="T42" i="15" s="1"/>
  <c r="G32" i="15"/>
  <c r="X108" i="7" l="1"/>
  <c r="X114" i="7" s="1"/>
  <c r="X115" i="7" s="1"/>
  <c r="Z22" i="16" s="1"/>
  <c r="Z23" i="16" s="1"/>
  <c r="X123" i="7" s="1"/>
  <c r="X129" i="7" s="1"/>
  <c r="X130" i="7" s="1"/>
  <c r="Z24" i="16" s="1"/>
  <c r="Z25" i="16" s="1"/>
  <c r="F32" i="15"/>
  <c r="C33" i="15" s="1"/>
  <c r="H32" i="15"/>
  <c r="Z35" i="16" l="1"/>
  <c r="H97" i="14"/>
  <c r="D33" i="15"/>
  <c r="U41" i="15" l="1"/>
  <c r="E33" i="15"/>
  <c r="U42" i="15" s="1"/>
  <c r="G33" i="15"/>
  <c r="Y108" i="7" l="1"/>
  <c r="Y114" i="7" s="1"/>
  <c r="Y115" i="7" s="1"/>
  <c r="AA22" i="16" s="1"/>
  <c r="AA23" i="16" s="1"/>
  <c r="Y123" i="7" s="1"/>
  <c r="Y129" i="7" s="1"/>
  <c r="Y130" i="7" s="1"/>
  <c r="AA24" i="16" s="1"/>
  <c r="AA25" i="16" s="1"/>
  <c r="H98" i="14" s="1"/>
  <c r="H33" i="15"/>
  <c r="F33" i="15"/>
  <c r="C34" i="15" s="1"/>
  <c r="D34" i="15" l="1"/>
  <c r="V41" i="15" l="1"/>
  <c r="E34" i="15"/>
  <c r="V42" i="15" s="1"/>
  <c r="G34" i="15"/>
  <c r="Z108" i="7" l="1"/>
  <c r="Z114" i="7" s="1"/>
  <c r="Z115" i="7" s="1"/>
  <c r="AB22" i="16" s="1"/>
  <c r="AB23" i="16" s="1"/>
  <c r="Z123" i="7" s="1"/>
  <c r="Z129" i="7" s="1"/>
  <c r="Z130" i="7" s="1"/>
  <c r="AB24" i="16" s="1"/>
  <c r="AB25" i="16" s="1"/>
  <c r="H99" i="14" s="1"/>
  <c r="H34" i="15"/>
  <c r="F34" i="15"/>
  <c r="C35" i="15" s="1"/>
  <c r="D35" i="15" l="1"/>
  <c r="W41" i="15" l="1"/>
  <c r="E35" i="15"/>
  <c r="W42" i="15" s="1"/>
  <c r="G35" i="15"/>
  <c r="AA108" i="7" l="1"/>
  <c r="AA114" i="7" s="1"/>
  <c r="AA115" i="7" s="1"/>
  <c r="AC22" i="16" s="1"/>
  <c r="AC23" i="16" s="1"/>
  <c r="AA123" i="7" s="1"/>
  <c r="AA129" i="7" s="1"/>
  <c r="AA130" i="7" s="1"/>
  <c r="AC24" i="16" s="1"/>
  <c r="AC25" i="16" s="1"/>
  <c r="H100" i="14" s="1"/>
  <c r="H35" i="15"/>
  <c r="F35" i="15"/>
  <c r="C36" i="15" s="1"/>
  <c r="D36" i="15" l="1"/>
  <c r="X41" i="15" l="1"/>
  <c r="E36" i="15"/>
  <c r="X42" i="15" s="1"/>
  <c r="G36" i="15"/>
  <c r="AB108" i="7" l="1"/>
  <c r="AB114" i="7" s="1"/>
  <c r="AB115" i="7" s="1"/>
  <c r="AD22" i="16" s="1"/>
  <c r="AD23" i="16" s="1"/>
  <c r="H36" i="15"/>
  <c r="F36" i="15"/>
  <c r="C37" i="15" s="1"/>
  <c r="D37" i="15" s="1"/>
  <c r="AB123" i="7" l="1"/>
  <c r="AB129" i="7" s="1"/>
  <c r="AB130" i="7" s="1"/>
  <c r="AD24" i="16" s="1"/>
  <c r="AD25" i="16" s="1"/>
  <c r="H101" i="14" s="1"/>
  <c r="E37" i="15"/>
  <c r="F37" i="15" s="1"/>
  <c r="G37" i="15"/>
  <c r="H37" i="15" l="1"/>
  <c r="K32" i="16" l="1"/>
  <c r="AD31" i="16"/>
  <c r="AD32" i="16"/>
  <c r="AC31" i="16"/>
  <c r="AC32" i="16"/>
  <c r="Z31" i="16"/>
  <c r="Z32" i="16"/>
  <c r="Y31" i="16"/>
  <c r="Y32" i="16"/>
  <c r="X31" i="16"/>
  <c r="X32" i="16"/>
  <c r="V31" i="16"/>
  <c r="V32" i="16"/>
  <c r="P32" i="16"/>
  <c r="N31" i="16"/>
  <c r="N32" i="16"/>
  <c r="M31" i="16"/>
  <c r="M32" i="16"/>
  <c r="Y35" i="16"/>
  <c r="U35" i="16"/>
  <c r="N30" i="16"/>
  <c r="N35" i="16" s="1"/>
  <c r="V30" i="16"/>
  <c r="AD30" i="16"/>
  <c r="AD35" i="16" s="1"/>
  <c r="P30" i="16"/>
  <c r="P35" i="16" s="1"/>
  <c r="X30" i="16"/>
  <c r="X35" i="16" s="1"/>
  <c r="AC30" i="16"/>
  <c r="AC35" i="16" s="1"/>
  <c r="M30" i="16"/>
  <c r="M35" i="16" s="1"/>
  <c r="K30" i="16"/>
  <c r="K31" i="16"/>
  <c r="K33" i="16" l="1"/>
  <c r="L32" i="16"/>
  <c r="L30" i="16"/>
  <c r="L35" i="16" s="1"/>
  <c r="V35" i="16"/>
  <c r="R35" i="16"/>
  <c r="P31" i="16"/>
  <c r="K35" i="16"/>
  <c r="I82" i="14"/>
  <c r="AB31" i="16"/>
  <c r="AB32" i="16"/>
  <c r="AA31" i="16"/>
  <c r="AA32" i="16"/>
  <c r="W31" i="16"/>
  <c r="W32" i="16"/>
  <c r="Q31" i="16"/>
  <c r="Q32" i="16"/>
  <c r="O32" i="16"/>
  <c r="AB30" i="16"/>
  <c r="AB35" i="16" s="1"/>
  <c r="AA30" i="16"/>
  <c r="AA35" i="16" s="1"/>
  <c r="W30" i="16"/>
  <c r="W35" i="16" s="1"/>
  <c r="T35" i="16"/>
  <c r="Q35" i="16"/>
  <c r="L31" i="16"/>
  <c r="I95" i="14"/>
  <c r="I93" i="14"/>
  <c r="I92" i="14"/>
  <c r="I96" i="14"/>
  <c r="I97" i="14"/>
  <c r="I89" i="14"/>
  <c r="I100" i="14"/>
  <c r="I101" i="14"/>
  <c r="I85" i="14"/>
  <c r="I84" i="14"/>
  <c r="I87" i="14"/>
  <c r="I90" i="14"/>
  <c r="O30" i="16" l="1"/>
  <c r="O35" i="16" s="1"/>
  <c r="I94" i="14"/>
  <c r="I98" i="14"/>
  <c r="I86" i="14"/>
  <c r="I83" i="14"/>
  <c r="I88" i="14"/>
  <c r="I91" i="14"/>
  <c r="I99" i="14"/>
  <c r="K37" i="16" l="1"/>
  <c r="L33" i="16" l="1"/>
  <c r="N33" i="16" l="1"/>
  <c r="M33" i="16"/>
  <c r="P33" i="16" l="1"/>
  <c r="O33" i="16"/>
  <c r="Q33" i="16" l="1"/>
  <c r="R33" i="16" l="1"/>
  <c r="S33" i="16" l="1"/>
  <c r="T33" i="16" l="1"/>
  <c r="U33" i="16" l="1"/>
  <c r="V33" i="16" l="1"/>
  <c r="W33" i="16" l="1"/>
  <c r="X33" i="16" l="1"/>
  <c r="Y33" i="16" l="1"/>
  <c r="Z33" i="16" l="1"/>
  <c r="AA33" i="16" l="1"/>
  <c r="AB33" i="16" l="1"/>
  <c r="AC33" i="16" l="1"/>
  <c r="AD33" i="16" l="1"/>
</calcChain>
</file>

<file path=xl/sharedStrings.xml><?xml version="1.0" encoding="utf-8"?>
<sst xmlns="http://schemas.openxmlformats.org/spreadsheetml/2006/main" count="3183" uniqueCount="2322">
  <si>
    <t>DATI GENERALI DELL'EDIFICIO</t>
  </si>
  <si>
    <t>anno</t>
  </si>
  <si>
    <t>spesa annua</t>
  </si>
  <si>
    <t>INTERVENTI PREVISTI E STIMA DEGLI INVESTIMENTI</t>
  </si>
  <si>
    <t>Isolamento pavimento</t>
  </si>
  <si>
    <t>Sostituzione finestre</t>
  </si>
  <si>
    <t>Riqualificazione impianto riscaldamento (regolazione, emissione, distribuzione)</t>
  </si>
  <si>
    <t>Isolamento pareti con cappotto esterno</t>
  </si>
  <si>
    <t>Isolamento pareti con controparete interna</t>
  </si>
  <si>
    <t>costo stimato</t>
  </si>
  <si>
    <t>1.</t>
  </si>
  <si>
    <t>2.</t>
  </si>
  <si>
    <t>3.</t>
  </si>
  <si>
    <t>4.</t>
  </si>
  <si>
    <t>5.</t>
  </si>
  <si>
    <t>6.</t>
  </si>
  <si>
    <t>7.</t>
  </si>
  <si>
    <t>8.</t>
  </si>
  <si>
    <t>9.</t>
  </si>
  <si>
    <t>10.</t>
  </si>
  <si>
    <t>11.</t>
  </si>
  <si>
    <t>12.</t>
  </si>
  <si>
    <t>13.</t>
  </si>
  <si>
    <t>stima di massima e semplificata dei risparmi in relazione alle singole A.M.E.E.</t>
  </si>
  <si>
    <t>stima dei risparmi eseguita con un calcolo calibrato in modalità adattata all'utenza</t>
  </si>
  <si>
    <t>OPZIONE A</t>
  </si>
  <si>
    <t>kW</t>
  </si>
  <si>
    <t>%</t>
  </si>
  <si>
    <t>risparmio stimato</t>
  </si>
  <si>
    <t>W/lamp</t>
  </si>
  <si>
    <t>consumi termici</t>
  </si>
  <si>
    <t>consumi elettrici</t>
  </si>
  <si>
    <t>OPZIONE B</t>
  </si>
  <si>
    <t>prima</t>
  </si>
  <si>
    <t>dopo</t>
  </si>
  <si>
    <t>Fabbisogno termico involucro</t>
  </si>
  <si>
    <t>Prestazione energetica riscaldamento</t>
  </si>
  <si>
    <t>Prestazione energetica raffrescamento</t>
  </si>
  <si>
    <t>Prestazione energetica a.c.s.</t>
  </si>
  <si>
    <t>Prestazione energetica ventilazione</t>
  </si>
  <si>
    <t>Prestazione energetica illuminazione</t>
  </si>
  <si>
    <t>Prestazione energetica ascensori ecc.</t>
  </si>
  <si>
    <t>kWh/y</t>
  </si>
  <si>
    <t>Kd</t>
  </si>
  <si>
    <t>14.</t>
  </si>
  <si>
    <t>15.</t>
  </si>
  <si>
    <t>16.</t>
  </si>
  <si>
    <t>Installazione fotovoltaico</t>
  </si>
  <si>
    <t>Installazione valvole termostatiche</t>
  </si>
  <si>
    <t>PARAMETRI PER IL CALCOLO FINANZIARIO</t>
  </si>
  <si>
    <t>€</t>
  </si>
  <si>
    <t>kWh</t>
  </si>
  <si>
    <t>Investimento iniziale</t>
  </si>
  <si>
    <t>Risparmio annuo indicizzato</t>
  </si>
  <si>
    <t>€/y</t>
  </si>
  <si>
    <t>years</t>
  </si>
  <si>
    <t>Sussidio</t>
  </si>
  <si>
    <t>Flussi di cassa netti annuali senza sussidio</t>
  </si>
  <si>
    <t>Flussi di cassa netti annuali con sussidio</t>
  </si>
  <si>
    <t>Flussi di cassa progressivi senza sussidio</t>
  </si>
  <si>
    <t>Flussi di cassa progressivi con sussidio</t>
  </si>
  <si>
    <t>SISMA</t>
  </si>
  <si>
    <t>Supporting Innovative Schemes in the MED Area</t>
  </si>
  <si>
    <t>Project co-financed by the European Regional Development Fund</t>
  </si>
  <si>
    <t>SET</t>
  </si>
  <si>
    <t>Subsidy Evaluation Tool</t>
  </si>
  <si>
    <t>Select language:</t>
  </si>
  <si>
    <t>Italiano</t>
  </si>
  <si>
    <t>English</t>
  </si>
  <si>
    <t>Language 8</t>
  </si>
  <si>
    <t>Current language</t>
  </si>
  <si>
    <t>No.</t>
  </si>
  <si>
    <t>Sheet</t>
  </si>
  <si>
    <t>Progetto cofinanziato dal Fondo Europeo di Sviluppo Regionale</t>
  </si>
  <si>
    <t>Subsidy
Evaluation
Tool</t>
  </si>
  <si>
    <t>Initial investment</t>
  </si>
  <si>
    <t>Indexed annual savings</t>
  </si>
  <si>
    <t>Subsidy</t>
  </si>
  <si>
    <t>Annual net cash flows without subsidy</t>
  </si>
  <si>
    <t>Progressive cash flows without subsidy</t>
  </si>
  <si>
    <t>Subsidized Annual Net Cash Flows</t>
  </si>
  <si>
    <t>Subsidized Progressive Cash Flows</t>
  </si>
  <si>
    <t>GENERAL BUILDING INFORMATION</t>
  </si>
  <si>
    <t>Scuola</t>
  </si>
  <si>
    <t>Palestra</t>
  </si>
  <si>
    <t>Uffici</t>
  </si>
  <si>
    <t>Casa di riposo</t>
  </si>
  <si>
    <t>GG</t>
  </si>
  <si>
    <t>m³</t>
  </si>
  <si>
    <t>m²</t>
  </si>
  <si>
    <t>units</t>
  </si>
  <si>
    <t>cm</t>
  </si>
  <si>
    <t>€/kWh</t>
  </si>
  <si>
    <t>Tipo di edificio</t>
  </si>
  <si>
    <t>Località</t>
  </si>
  <si>
    <t>Anno di costruzione</t>
  </si>
  <si>
    <t>Volume riscaldato</t>
  </si>
  <si>
    <t>Superficie netta</t>
  </si>
  <si>
    <t>Numero piani riscaldati</t>
  </si>
  <si>
    <t>Spessore medio pareti esterne</t>
  </si>
  <si>
    <t>Altro</t>
  </si>
  <si>
    <t>Spese professionali</t>
  </si>
  <si>
    <t>Oneri sicurezza</t>
  </si>
  <si>
    <t>I.V.A.</t>
  </si>
  <si>
    <t>Totale</t>
  </si>
  <si>
    <t>Opzione A</t>
  </si>
  <si>
    <t>Opzione B</t>
  </si>
  <si>
    <t>q.tà</t>
  </si>
  <si>
    <t>potenza tot.</t>
  </si>
  <si>
    <t>potenza</t>
  </si>
  <si>
    <t>kWp</t>
  </si>
  <si>
    <t>Risparmio stimato sui consumi termici</t>
  </si>
  <si>
    <t>Risparmio stimato sui consumi elettrici</t>
  </si>
  <si>
    <t>kWh/a</t>
  </si>
  <si>
    <t>Risparmio complessivo</t>
  </si>
  <si>
    <t>Costo dell'investimento</t>
  </si>
  <si>
    <t>Metodo di calcolo dei risparmi energetici</t>
  </si>
  <si>
    <t>€/a</t>
  </si>
  <si>
    <t>anni</t>
  </si>
  <si>
    <t>VAN</t>
  </si>
  <si>
    <t>TIR</t>
  </si>
  <si>
    <t>Building type</t>
  </si>
  <si>
    <t>School</t>
  </si>
  <si>
    <t>Gym</t>
  </si>
  <si>
    <t>Offices</t>
  </si>
  <si>
    <t>Health care structure</t>
  </si>
  <si>
    <t>Location</t>
  </si>
  <si>
    <t>Heating Degree Days (HDD)</t>
  </si>
  <si>
    <t>N. of  floors with heating</t>
  </si>
  <si>
    <t>Heated volume</t>
  </si>
  <si>
    <t>Construction year</t>
  </si>
  <si>
    <t>Net Internal Area</t>
  </si>
  <si>
    <t>Medium thickness outer walls</t>
  </si>
  <si>
    <t>Gross Floor Area</t>
  </si>
  <si>
    <t>Optional, if the Net Internal Area value is not available</t>
  </si>
  <si>
    <t>year</t>
  </si>
  <si>
    <t>heat consumption</t>
  </si>
  <si>
    <t>annual expense</t>
  </si>
  <si>
    <t>electrical consumption</t>
  </si>
  <si>
    <t>INTERVENTIONS AND ESTIMATED INVESTMENTS</t>
  </si>
  <si>
    <t>External isolation of walls (ETICS)</t>
  </si>
  <si>
    <t>Internal isolation of walls</t>
  </si>
  <si>
    <t>Basement floor isolation</t>
  </si>
  <si>
    <t>Replacement of windows</t>
  </si>
  <si>
    <t>Installation of thermostatic valves</t>
  </si>
  <si>
    <t>Heating system efficiency improvement (regulation, emission, distribution)</t>
  </si>
  <si>
    <t>Replacement of lamps</t>
  </si>
  <si>
    <t>Photovoltaic installation</t>
  </si>
  <si>
    <t>Other</t>
  </si>
  <si>
    <t>estimated cost</t>
  </si>
  <si>
    <t>Building design and construction fees</t>
  </si>
  <si>
    <t>Building site security costs</t>
  </si>
  <si>
    <t>V.A.T.</t>
  </si>
  <si>
    <t>Total</t>
  </si>
  <si>
    <t>Option A</t>
  </si>
  <si>
    <t>Option B</t>
  </si>
  <si>
    <t>simplified estimation of savings in relation to specific ECMs Energy Conservation Measures</t>
  </si>
  <si>
    <t>tailored and calibrated calculation of savings</t>
  </si>
  <si>
    <t>OPTION A</t>
  </si>
  <si>
    <t>OPTION B</t>
  </si>
  <si>
    <t>estimated savings</t>
  </si>
  <si>
    <t>affected dispersion surface</t>
  </si>
  <si>
    <t>qty.</t>
  </si>
  <si>
    <t>total power</t>
  </si>
  <si>
    <t>power</t>
  </si>
  <si>
    <t>Estimated savings on heat consumption</t>
  </si>
  <si>
    <t>Estimated cost savings on electric power</t>
  </si>
  <si>
    <t>Seasonal average heating system efficiency</t>
  </si>
  <si>
    <t>Heating energy performance</t>
  </si>
  <si>
    <t>Cooling energy performance</t>
  </si>
  <si>
    <t>D.H.W (Domestic Hot Water) energy efficiency</t>
  </si>
  <si>
    <t>Ventilation energy performance</t>
  </si>
  <si>
    <t>Lighting energy performance</t>
  </si>
  <si>
    <t>Energy performance elevators etc.</t>
  </si>
  <si>
    <t>Heating energy needs</t>
  </si>
  <si>
    <t>before</t>
  </si>
  <si>
    <t>after</t>
  </si>
  <si>
    <t>PARAMETERS FOR THE FINANCIAL CALCULATION</t>
  </si>
  <si>
    <t>Investment</t>
  </si>
  <si>
    <t>Total savings</t>
  </si>
  <si>
    <t>equivalent to</t>
  </si>
  <si>
    <t>% of total investment</t>
  </si>
  <si>
    <t>NPV</t>
  </si>
  <si>
    <t>IRR</t>
  </si>
  <si>
    <t>savings data is obtained from a detailed energy diagnosis or from an ICP or equivalent protocol baseline-&gt; savings process leading to an IREE or similar  certification</t>
  </si>
  <si>
    <t>dati di risparmio ricavati da una diagnosi energetica dettagliata oppure da un meccanismo di verifica e validazione secondo il protocollo ICP e/o la certificazione IREE</t>
  </si>
  <si>
    <t>Rendimento medio stagionale imp, riscaldamento</t>
  </si>
  <si>
    <t>sup. disperdente interessata</t>
  </si>
  <si>
    <t>Options:</t>
  </si>
  <si>
    <t>OPZIONE DI CALCOLO DEI RISPARMI</t>
  </si>
  <si>
    <t>SAVINGS CALCULATION - SELECT OPTION</t>
  </si>
  <si>
    <t>Fuel</t>
  </si>
  <si>
    <t>Thermal energy cost</t>
  </si>
  <si>
    <t>Cost of electricity</t>
  </si>
  <si>
    <t>Combustibile</t>
  </si>
  <si>
    <t>Costo energia termica</t>
  </si>
  <si>
    <t>Costo energia elettrica</t>
  </si>
  <si>
    <t>INFORMAZIONI GENERALI DI PROGETTO</t>
  </si>
  <si>
    <t>Edificio</t>
  </si>
  <si>
    <t>Building</t>
  </si>
  <si>
    <t>Ente proprietario</t>
  </si>
  <si>
    <t>Owner</t>
  </si>
  <si>
    <t>Indirizzo</t>
  </si>
  <si>
    <t>Address</t>
  </si>
  <si>
    <t>Ente / Azienda</t>
  </si>
  <si>
    <t>Istitution / Company</t>
  </si>
  <si>
    <t>Telefono / Email</t>
  </si>
  <si>
    <t>Phone number / Email</t>
  </si>
  <si>
    <t>Author</t>
  </si>
  <si>
    <t>GENERAL INFORMATION</t>
  </si>
  <si>
    <t>Posizione</t>
  </si>
  <si>
    <t>Position</t>
  </si>
  <si>
    <t>Accostato su due lati</t>
  </si>
  <si>
    <t>Accostato su un lato</t>
  </si>
  <si>
    <t>dati opzionali se non è disponibile il valore di superficie netta</t>
  </si>
  <si>
    <t xml:space="preserve">Semi-detached </t>
  </si>
  <si>
    <t>Both sides semi-detached </t>
  </si>
  <si>
    <t>Isolated building</t>
  </si>
  <si>
    <t>Edificio isolato</t>
  </si>
  <si>
    <t>Unità di misura</t>
  </si>
  <si>
    <t>Unit of measurement</t>
  </si>
  <si>
    <t>CONSUMPTION MEASURES - THERMAL ENERGY</t>
  </si>
  <si>
    <t>CONSUMPTION MEASURES - ELECTRICITY</t>
  </si>
  <si>
    <t>CONSUMI RILEVATI: ENERGIA TERMICA</t>
  </si>
  <si>
    <t>CONSUMI RILEVATI: ENERGIA ELETTRICA</t>
  </si>
  <si>
    <t>HDD</t>
  </si>
  <si>
    <t>GG min.</t>
  </si>
  <si>
    <t>GG max.</t>
  </si>
  <si>
    <t>Giorni risc.</t>
  </si>
  <si>
    <t>Heating days</t>
  </si>
  <si>
    <t>Ore giornaliere risc.</t>
  </si>
  <si>
    <t>Inizio periodo risc.</t>
  </si>
  <si>
    <t>Fine periodo risc.</t>
  </si>
  <si>
    <t>Dati convenzionali riscaldamento</t>
  </si>
  <si>
    <t>Distribuzione giorni risc.</t>
  </si>
  <si>
    <t>Distribuzione GG</t>
  </si>
  <si>
    <t>Gen.</t>
  </si>
  <si>
    <t>Feb.</t>
  </si>
  <si>
    <t>Mar.</t>
  </si>
  <si>
    <t>Apr.</t>
  </si>
  <si>
    <t>Mag.</t>
  </si>
  <si>
    <t>Giu.</t>
  </si>
  <si>
    <t>Lug.</t>
  </si>
  <si>
    <t>Ago.</t>
  </si>
  <si>
    <t>Set.</t>
  </si>
  <si>
    <t>Ott.</t>
  </si>
  <si>
    <t>Nov.</t>
  </si>
  <si>
    <t>Dic.</t>
  </si>
  <si>
    <t>Jan.</t>
  </si>
  <si>
    <t>May</t>
  </si>
  <si>
    <t>Jun.</t>
  </si>
  <si>
    <t>Jul.</t>
  </si>
  <si>
    <t>Aug.</t>
  </si>
  <si>
    <t>Sep.</t>
  </si>
  <si>
    <t>Dec.</t>
  </si>
  <si>
    <t>Oct.</t>
  </si>
  <si>
    <t>Dati sui combustibili</t>
  </si>
  <si>
    <t>Metano</t>
  </si>
  <si>
    <t>Olio combustibile</t>
  </si>
  <si>
    <t>Pellet</t>
  </si>
  <si>
    <t>Legna</t>
  </si>
  <si>
    <t>Energia elettrica</t>
  </si>
  <si>
    <t>Energia primaria</t>
  </si>
  <si>
    <t>Potere calorifico</t>
  </si>
  <si>
    <t>Smc</t>
  </si>
  <si>
    <t>l</t>
  </si>
  <si>
    <t>kg</t>
  </si>
  <si>
    <t>GPL</t>
  </si>
  <si>
    <t>Gasolio</t>
  </si>
  <si>
    <t>mc</t>
  </si>
  <si>
    <t>Costo energia</t>
  </si>
  <si>
    <t>Latitudine</t>
  </si>
  <si>
    <t>Latitude</t>
  </si>
  <si>
    <t>Distribuzione irraggiamento</t>
  </si>
  <si>
    <t>Irraggiamento sul piano orizzontale</t>
  </si>
  <si>
    <t>N</t>
  </si>
  <si>
    <t>E</t>
  </si>
  <si>
    <t>S</t>
  </si>
  <si>
    <t>O</t>
  </si>
  <si>
    <t>Rapporto di irraggiamento rispetto al piano orizzontale</t>
  </si>
  <si>
    <t>W</t>
  </si>
  <si>
    <t>Languages</t>
  </si>
  <si>
    <t>Energy carrier</t>
  </si>
  <si>
    <t>U.d.m.</t>
  </si>
  <si>
    <t>U.o.m.</t>
  </si>
  <si>
    <t>=</t>
  </si>
  <si>
    <t>Isolamento copertura piana o a falde</t>
  </si>
  <si>
    <t>Isolamento del sottotetto</t>
  </si>
  <si>
    <t>Roof isolation</t>
  </si>
  <si>
    <t>Attic isolation</t>
  </si>
  <si>
    <t>–</t>
  </si>
  <si>
    <t>Superficie lorda</t>
  </si>
  <si>
    <r>
      <t>Q</t>
    </r>
    <r>
      <rPr>
        <vertAlign val="subscript"/>
        <sz val="10"/>
        <color theme="1"/>
        <rFont val="Calibri"/>
        <family val="2"/>
        <scheme val="minor"/>
      </rPr>
      <t>H,nd</t>
    </r>
    <r>
      <rPr>
        <sz val="11"/>
        <color theme="1"/>
        <rFont val="Calibri"/>
        <family val="2"/>
        <scheme val="minor"/>
      </rPr>
      <t/>
    </r>
  </si>
  <si>
    <r>
      <t>η</t>
    </r>
    <r>
      <rPr>
        <vertAlign val="subscript"/>
        <sz val="10"/>
        <color theme="1"/>
        <rFont val="Calibri"/>
        <family val="2"/>
      </rPr>
      <t>H,g</t>
    </r>
  </si>
  <si>
    <r>
      <t>η</t>
    </r>
    <r>
      <rPr>
        <vertAlign val="subscript"/>
        <sz val="10"/>
        <color theme="1"/>
        <rFont val="Calibri"/>
        <family val="2"/>
      </rPr>
      <t>H,e</t>
    </r>
    <r>
      <rPr>
        <sz val="10"/>
        <color theme="1"/>
        <rFont val="Calibri"/>
        <family val="2"/>
      </rPr>
      <t xml:space="preserve"> * η</t>
    </r>
    <r>
      <rPr>
        <vertAlign val="subscript"/>
        <sz val="10"/>
        <color theme="1"/>
        <rFont val="Calibri"/>
        <family val="2"/>
      </rPr>
      <t>H,rg</t>
    </r>
    <r>
      <rPr>
        <sz val="10"/>
        <color theme="1"/>
        <rFont val="Calibri"/>
        <family val="2"/>
      </rPr>
      <t xml:space="preserve"> * η</t>
    </r>
    <r>
      <rPr>
        <vertAlign val="subscript"/>
        <sz val="10"/>
        <color theme="1"/>
        <rFont val="Calibri"/>
        <family val="2"/>
      </rPr>
      <t>H,d</t>
    </r>
    <r>
      <rPr>
        <sz val="10"/>
        <color theme="1"/>
        <rFont val="Calibri"/>
        <family val="2"/>
      </rPr>
      <t xml:space="preserve"> * η</t>
    </r>
    <r>
      <rPr>
        <vertAlign val="subscript"/>
        <sz val="10"/>
        <color theme="1"/>
        <rFont val="Calibri"/>
        <family val="2"/>
      </rPr>
      <t>H,gn</t>
    </r>
  </si>
  <si>
    <r>
      <t>A</t>
    </r>
    <r>
      <rPr>
        <vertAlign val="subscript"/>
        <sz val="10"/>
        <color theme="1"/>
        <rFont val="Calibri"/>
        <family val="2"/>
        <scheme val="minor"/>
      </rPr>
      <t>pav</t>
    </r>
  </si>
  <si>
    <r>
      <t>A</t>
    </r>
    <r>
      <rPr>
        <vertAlign val="subscript"/>
        <sz val="10"/>
        <color theme="1"/>
        <rFont val="Calibri"/>
        <family val="2"/>
        <scheme val="minor"/>
      </rPr>
      <t>L</t>
    </r>
  </si>
  <si>
    <r>
      <t>d</t>
    </r>
    <r>
      <rPr>
        <vertAlign val="subscript"/>
        <sz val="10"/>
        <color theme="1"/>
        <rFont val="Calibri"/>
        <family val="2"/>
        <scheme val="minor"/>
      </rPr>
      <t>F</t>
    </r>
  </si>
  <si>
    <r>
      <t>V</t>
    </r>
    <r>
      <rPr>
        <vertAlign val="subscript"/>
        <sz val="10"/>
        <color theme="1"/>
        <rFont val="Calibri"/>
        <family val="2"/>
        <scheme val="minor"/>
      </rPr>
      <t>L</t>
    </r>
  </si>
  <si>
    <r>
      <t>V</t>
    </r>
    <r>
      <rPr>
        <vertAlign val="subscript"/>
        <sz val="10"/>
        <color theme="1"/>
        <rFont val="Calibri"/>
        <family val="2"/>
        <scheme val="minor"/>
      </rPr>
      <t>n</t>
    </r>
  </si>
  <si>
    <r>
      <t>h</t>
    </r>
    <r>
      <rPr>
        <vertAlign val="subscript"/>
        <sz val="10"/>
        <color theme="1"/>
        <rFont val="Calibri"/>
        <family val="2"/>
        <scheme val="minor"/>
      </rPr>
      <t>n</t>
    </r>
    <r>
      <rPr>
        <sz val="10"/>
        <color theme="1"/>
        <rFont val="Calibri"/>
        <family val="2"/>
        <scheme val="minor"/>
      </rPr>
      <t xml:space="preserve"> / h</t>
    </r>
    <r>
      <rPr>
        <vertAlign val="subscript"/>
        <sz val="10"/>
        <color theme="1"/>
        <rFont val="Calibri"/>
        <family val="2"/>
        <scheme val="minor"/>
      </rPr>
      <t>L</t>
    </r>
  </si>
  <si>
    <t>m</t>
  </si>
  <si>
    <r>
      <t>A</t>
    </r>
    <r>
      <rPr>
        <vertAlign val="subscript"/>
        <sz val="10"/>
        <color theme="1"/>
        <rFont val="Calibri"/>
        <family val="2"/>
        <scheme val="minor"/>
      </rPr>
      <t>pav</t>
    </r>
    <r>
      <rPr>
        <sz val="10"/>
        <color theme="1"/>
        <rFont val="Calibri"/>
        <family val="2"/>
        <scheme val="minor"/>
      </rPr>
      <t xml:space="preserve"> / A</t>
    </r>
    <r>
      <rPr>
        <vertAlign val="subscript"/>
        <sz val="10"/>
        <color theme="1"/>
        <rFont val="Calibri"/>
        <family val="2"/>
        <scheme val="minor"/>
      </rPr>
      <t>L</t>
    </r>
  </si>
  <si>
    <t>Altezza interna media di piano</t>
  </si>
  <si>
    <t>Altezza lorda media di interpiano</t>
  </si>
  <si>
    <t>Basement floor gross area</t>
  </si>
  <si>
    <r>
      <t>A</t>
    </r>
    <r>
      <rPr>
        <vertAlign val="subscript"/>
        <sz val="9"/>
        <color theme="1"/>
        <rFont val="Calibri"/>
        <family val="2"/>
        <scheme val="minor"/>
      </rPr>
      <t>B</t>
    </r>
  </si>
  <si>
    <t>Area lorda primo solaio</t>
  </si>
  <si>
    <t>Area lorda copertura</t>
  </si>
  <si>
    <t>Roof gross area</t>
  </si>
  <si>
    <r>
      <t>A</t>
    </r>
    <r>
      <rPr>
        <vertAlign val="subscript"/>
        <sz val="9"/>
        <color theme="1"/>
        <rFont val="Calibri"/>
        <family val="2"/>
        <scheme val="minor"/>
      </rPr>
      <t>R</t>
    </r>
  </si>
  <si>
    <t>Altezza lorda edificio</t>
  </si>
  <si>
    <r>
      <t>h</t>
    </r>
    <r>
      <rPr>
        <vertAlign val="subscript"/>
        <sz val="9"/>
        <color theme="1"/>
        <rFont val="Calibri"/>
        <family val="2"/>
        <scheme val="minor"/>
      </rPr>
      <t>L,tot</t>
    </r>
  </si>
  <si>
    <t>Dimensioni edificio</t>
  </si>
  <si>
    <t>a</t>
  </si>
  <si>
    <t>b</t>
  </si>
  <si>
    <r>
      <t>b</t>
    </r>
    <r>
      <rPr>
        <vertAlign val="subscript"/>
        <sz val="9"/>
        <color theme="1"/>
        <rFont val="Calibri"/>
        <family val="2"/>
        <scheme val="minor"/>
      </rPr>
      <t>max</t>
    </r>
  </si>
  <si>
    <r>
      <t>b</t>
    </r>
    <r>
      <rPr>
        <vertAlign val="subscript"/>
        <sz val="9"/>
        <color theme="1"/>
        <rFont val="Calibri"/>
        <family val="2"/>
        <scheme val="minor"/>
      </rPr>
      <t>min</t>
    </r>
  </si>
  <si>
    <t>Dimensione max lato corto</t>
  </si>
  <si>
    <t>Fattore di forma</t>
  </si>
  <si>
    <t>h</t>
  </si>
  <si>
    <r>
      <t>A</t>
    </r>
    <r>
      <rPr>
        <sz val="9"/>
        <color theme="1"/>
        <rFont val="Calibri"/>
        <family val="2"/>
        <scheme val="minor"/>
      </rPr>
      <t xml:space="preserve"> / V</t>
    </r>
    <r>
      <rPr>
        <vertAlign val="subscript"/>
        <sz val="9"/>
        <color theme="1"/>
        <rFont val="Calibri"/>
        <family val="2"/>
        <scheme val="minor"/>
      </rPr>
      <t>L</t>
    </r>
  </si>
  <si>
    <r>
      <t>A</t>
    </r>
    <r>
      <rPr>
        <vertAlign val="subscript"/>
        <sz val="10"/>
        <color theme="1"/>
        <rFont val="Calibri"/>
        <family val="2"/>
        <scheme val="minor"/>
      </rPr>
      <t>W</t>
    </r>
  </si>
  <si>
    <t>Area pareti</t>
  </si>
  <si>
    <t>Area finestre</t>
  </si>
  <si>
    <r>
      <t>A</t>
    </r>
    <r>
      <rPr>
        <vertAlign val="subscript"/>
        <sz val="9"/>
        <color theme="1"/>
        <rFont val="Calibri"/>
        <family val="2"/>
        <scheme val="minor"/>
      </rPr>
      <t>F</t>
    </r>
  </si>
  <si>
    <r>
      <t>A</t>
    </r>
    <r>
      <rPr>
        <vertAlign val="subscript"/>
        <sz val="9"/>
        <color theme="1"/>
        <rFont val="Calibri"/>
        <family val="2"/>
        <scheme val="minor"/>
      </rPr>
      <t>W</t>
    </r>
  </si>
  <si>
    <r>
      <t>A</t>
    </r>
    <r>
      <rPr>
        <vertAlign val="subscript"/>
        <sz val="9"/>
        <color theme="1"/>
        <rFont val="Calibri"/>
        <family val="2"/>
        <scheme val="minor"/>
      </rPr>
      <t>F,E</t>
    </r>
  </si>
  <si>
    <r>
      <t>A</t>
    </r>
    <r>
      <rPr>
        <vertAlign val="subscript"/>
        <sz val="9"/>
        <color theme="1"/>
        <rFont val="Calibri"/>
        <family val="2"/>
        <scheme val="minor"/>
      </rPr>
      <t>F,W</t>
    </r>
  </si>
  <si>
    <r>
      <t>A</t>
    </r>
    <r>
      <rPr>
        <vertAlign val="subscript"/>
        <sz val="9"/>
        <color theme="1"/>
        <rFont val="Calibri"/>
        <family val="2"/>
        <scheme val="minor"/>
      </rPr>
      <t>F,S</t>
    </r>
  </si>
  <si>
    <r>
      <t>A</t>
    </r>
    <r>
      <rPr>
        <vertAlign val="subscript"/>
        <sz val="9"/>
        <color theme="1"/>
        <rFont val="Calibri"/>
        <family val="2"/>
        <scheme val="minor"/>
      </rPr>
      <t>F,N</t>
    </r>
  </si>
  <si>
    <r>
      <t>A</t>
    </r>
    <r>
      <rPr>
        <vertAlign val="subscript"/>
        <sz val="9"/>
        <color theme="1"/>
        <rFont val="Calibri"/>
        <family val="2"/>
        <scheme val="minor"/>
      </rPr>
      <t>W,E</t>
    </r>
  </si>
  <si>
    <r>
      <t>A</t>
    </r>
    <r>
      <rPr>
        <vertAlign val="subscript"/>
        <sz val="9"/>
        <color theme="1"/>
        <rFont val="Calibri"/>
        <family val="2"/>
        <scheme val="minor"/>
      </rPr>
      <t>W,W</t>
    </r>
  </si>
  <si>
    <r>
      <t>A</t>
    </r>
    <r>
      <rPr>
        <vertAlign val="subscript"/>
        <sz val="9"/>
        <color theme="1"/>
        <rFont val="Calibri"/>
        <family val="2"/>
        <scheme val="minor"/>
      </rPr>
      <t>W,S</t>
    </r>
  </si>
  <si>
    <r>
      <t>A</t>
    </r>
    <r>
      <rPr>
        <vertAlign val="subscript"/>
        <sz val="9"/>
        <color theme="1"/>
        <rFont val="Calibri"/>
        <family val="2"/>
        <scheme val="minor"/>
      </rPr>
      <t>W,N</t>
    </r>
  </si>
  <si>
    <t>Rapporto minimo tra i lati</t>
  </si>
  <si>
    <r>
      <t>A</t>
    </r>
    <r>
      <rPr>
        <vertAlign val="subscript"/>
        <sz val="9"/>
        <color theme="1"/>
        <rFont val="Calibri"/>
        <family val="2"/>
        <scheme val="minor"/>
      </rPr>
      <t>B,0</t>
    </r>
  </si>
  <si>
    <r>
      <t>A</t>
    </r>
    <r>
      <rPr>
        <vertAlign val="subscript"/>
        <sz val="9"/>
        <color theme="1"/>
        <rFont val="Calibri"/>
        <family val="2"/>
        <scheme val="minor"/>
      </rPr>
      <t>B,1</t>
    </r>
    <r>
      <rPr>
        <sz val="11"/>
        <color theme="1"/>
        <rFont val="Calibri"/>
        <family val="2"/>
        <scheme val="minor"/>
      </rPr>
      <t/>
    </r>
  </si>
  <si>
    <r>
      <t>A</t>
    </r>
    <r>
      <rPr>
        <vertAlign val="subscript"/>
        <sz val="9"/>
        <color theme="1"/>
        <rFont val="Calibri"/>
        <family val="2"/>
        <scheme val="minor"/>
      </rPr>
      <t>R,1</t>
    </r>
  </si>
  <si>
    <r>
      <t>A</t>
    </r>
    <r>
      <rPr>
        <vertAlign val="subscript"/>
        <sz val="9"/>
        <color theme="1"/>
        <rFont val="Calibri"/>
        <family val="2"/>
        <scheme val="minor"/>
      </rPr>
      <t>R,0</t>
    </r>
  </si>
  <si>
    <r>
      <t>A</t>
    </r>
    <r>
      <rPr>
        <vertAlign val="subscript"/>
        <sz val="9"/>
        <color theme="1"/>
        <rFont val="Calibri"/>
        <family val="2"/>
        <scheme val="minor"/>
      </rPr>
      <t>R,2</t>
    </r>
  </si>
  <si>
    <r>
      <t>A</t>
    </r>
    <r>
      <rPr>
        <vertAlign val="subscript"/>
        <sz val="9"/>
        <color theme="1"/>
        <rFont val="Calibri"/>
        <family val="2"/>
        <scheme val="minor"/>
      </rPr>
      <t>F,0</t>
    </r>
  </si>
  <si>
    <r>
      <t>A</t>
    </r>
    <r>
      <rPr>
        <vertAlign val="subscript"/>
        <sz val="9"/>
        <color theme="1"/>
        <rFont val="Calibri"/>
        <family val="2"/>
        <scheme val="minor"/>
      </rPr>
      <t>F,1</t>
    </r>
  </si>
  <si>
    <r>
      <t>A</t>
    </r>
    <r>
      <rPr>
        <vertAlign val="subscript"/>
        <sz val="9"/>
        <color theme="1"/>
        <rFont val="Calibri"/>
        <family val="2"/>
        <scheme val="minor"/>
      </rPr>
      <t>F,2</t>
    </r>
  </si>
  <si>
    <r>
      <t>A</t>
    </r>
    <r>
      <rPr>
        <vertAlign val="subscript"/>
        <sz val="9"/>
        <color theme="1"/>
        <rFont val="Calibri"/>
        <family val="2"/>
        <scheme val="minor"/>
      </rPr>
      <t>W,0</t>
    </r>
  </si>
  <si>
    <r>
      <t>A</t>
    </r>
    <r>
      <rPr>
        <vertAlign val="subscript"/>
        <sz val="9"/>
        <color theme="1"/>
        <rFont val="Calibri"/>
        <family val="2"/>
        <scheme val="minor"/>
      </rPr>
      <t>W,1</t>
    </r>
  </si>
  <si>
    <t>Modellazione geometria edificio</t>
  </si>
  <si>
    <t>Definizione superfici disperdenti</t>
  </si>
  <si>
    <t>Tolleranza</t>
  </si>
  <si>
    <t>sottotetto</t>
  </si>
  <si>
    <t>ulteriore risparmio sui consumi termici</t>
  </si>
  <si>
    <t>ulteriore risparmio sui consumi elettrici</t>
  </si>
  <si>
    <t>potenza installata</t>
  </si>
  <si>
    <t>a copertura dei consumi elettrici</t>
  </si>
  <si>
    <t>a copertura dei consumi termici</t>
  </si>
  <si>
    <t>Sostituzione generatore di calore</t>
  </si>
  <si>
    <t xml:space="preserve">Boiler replacement </t>
  </si>
  <si>
    <t>Sostituzione con pompa di calore</t>
  </si>
  <si>
    <t>Same fuel</t>
  </si>
  <si>
    <t>Heat pump</t>
  </si>
  <si>
    <t>Stesso combustibile</t>
  </si>
  <si>
    <t>Intervento su una parte delle pareti</t>
  </si>
  <si>
    <t>Intervento su tutte le finestre</t>
  </si>
  <si>
    <t>Intervento su una parte delle finestre</t>
  </si>
  <si>
    <t>Intervento su tutta la copertura</t>
  </si>
  <si>
    <t>Intervento su una parte della copertura</t>
  </si>
  <si>
    <t>Intervento su tutto il solaio</t>
  </si>
  <si>
    <t>Intervento su una parte del solaio</t>
  </si>
  <si>
    <t>Intervento su tutte le pareti dell'involucro</t>
  </si>
  <si>
    <t>Intervento totale (1) o parziale (2)</t>
  </si>
  <si>
    <t>Check</t>
  </si>
  <si>
    <r>
      <t>( A</t>
    </r>
    <r>
      <rPr>
        <vertAlign val="subscript"/>
        <sz val="10"/>
        <color theme="1"/>
        <rFont val="Calibri"/>
        <family val="2"/>
        <scheme val="minor"/>
      </rPr>
      <t>R</t>
    </r>
    <r>
      <rPr>
        <sz val="10"/>
        <color theme="1"/>
        <rFont val="Calibri"/>
        <family val="2"/>
        <scheme val="minor"/>
      </rPr>
      <t xml:space="preserve"> * U</t>
    </r>
    <r>
      <rPr>
        <vertAlign val="subscript"/>
        <sz val="10"/>
        <color theme="1"/>
        <rFont val="Calibri"/>
        <family val="2"/>
        <scheme val="minor"/>
      </rPr>
      <t>R</t>
    </r>
    <r>
      <rPr>
        <sz val="10"/>
        <color theme="1"/>
        <rFont val="Calibri"/>
        <family val="2"/>
        <scheme val="minor"/>
      </rPr>
      <t xml:space="preserve"> * b</t>
    </r>
    <r>
      <rPr>
        <vertAlign val="subscript"/>
        <sz val="10"/>
        <color theme="1"/>
        <rFont val="Calibri"/>
        <family val="2"/>
        <scheme val="minor"/>
      </rPr>
      <t>tr,R</t>
    </r>
    <r>
      <rPr>
        <sz val="10"/>
        <color theme="1"/>
        <rFont val="Calibri"/>
        <family val="2"/>
        <scheme val="minor"/>
      </rPr>
      <t xml:space="preserve"> + A</t>
    </r>
    <r>
      <rPr>
        <vertAlign val="subscript"/>
        <sz val="10"/>
        <color theme="1"/>
        <rFont val="Calibri"/>
        <family val="2"/>
        <scheme val="minor"/>
      </rPr>
      <t>B</t>
    </r>
    <r>
      <rPr>
        <sz val="10"/>
        <color theme="1"/>
        <rFont val="Calibri"/>
        <family val="2"/>
        <scheme val="minor"/>
      </rPr>
      <t xml:space="preserve"> * U</t>
    </r>
    <r>
      <rPr>
        <vertAlign val="subscript"/>
        <sz val="10"/>
        <color theme="1"/>
        <rFont val="Calibri"/>
        <family val="2"/>
        <scheme val="minor"/>
      </rPr>
      <t>B</t>
    </r>
    <r>
      <rPr>
        <sz val="10"/>
        <color theme="1"/>
        <rFont val="Calibri"/>
        <family val="2"/>
        <scheme val="minor"/>
      </rPr>
      <t xml:space="preserve"> * b</t>
    </r>
    <r>
      <rPr>
        <vertAlign val="subscript"/>
        <sz val="10"/>
        <color theme="1"/>
        <rFont val="Calibri"/>
        <family val="2"/>
        <scheme val="minor"/>
      </rPr>
      <t>tr,B</t>
    </r>
    <r>
      <rPr>
        <sz val="10"/>
        <color theme="1"/>
        <rFont val="Calibri"/>
        <family val="2"/>
        <scheme val="minor"/>
      </rPr>
      <t xml:space="preserve"> + A</t>
    </r>
    <r>
      <rPr>
        <vertAlign val="subscript"/>
        <sz val="10"/>
        <color theme="1"/>
        <rFont val="Calibri"/>
        <family val="2"/>
        <scheme val="minor"/>
      </rPr>
      <t>F</t>
    </r>
    <r>
      <rPr>
        <sz val="10"/>
        <color theme="1"/>
        <rFont val="Calibri"/>
        <family val="2"/>
        <scheme val="minor"/>
      </rPr>
      <t xml:space="preserve"> * U</t>
    </r>
    <r>
      <rPr>
        <vertAlign val="subscript"/>
        <sz val="10"/>
        <color theme="1"/>
        <rFont val="Calibri"/>
        <family val="2"/>
        <scheme val="minor"/>
      </rPr>
      <t>F</t>
    </r>
    <r>
      <rPr>
        <sz val="10"/>
        <color theme="1"/>
        <rFont val="Calibri"/>
        <family val="2"/>
        <scheme val="minor"/>
      </rPr>
      <t xml:space="preserve"> + A</t>
    </r>
    <r>
      <rPr>
        <vertAlign val="subscript"/>
        <sz val="10"/>
        <color theme="1"/>
        <rFont val="Calibri"/>
        <family val="2"/>
        <scheme val="minor"/>
      </rPr>
      <t>W</t>
    </r>
    <r>
      <rPr>
        <sz val="10"/>
        <color theme="1"/>
        <rFont val="Calibri"/>
        <family val="2"/>
        <scheme val="minor"/>
      </rPr>
      <t xml:space="preserve"> * U</t>
    </r>
    <r>
      <rPr>
        <vertAlign val="subscript"/>
        <sz val="10"/>
        <color theme="1"/>
        <rFont val="Calibri"/>
        <family val="2"/>
        <scheme val="minor"/>
      </rPr>
      <t xml:space="preserve">W </t>
    </r>
    <r>
      <rPr>
        <sz val="10"/>
        <color theme="1"/>
        <rFont val="Calibri"/>
        <family val="2"/>
        <scheme val="minor"/>
      </rPr>
      <t>) + ( Ψ * l</t>
    </r>
    <r>
      <rPr>
        <vertAlign val="subscript"/>
        <sz val="10"/>
        <color theme="1"/>
        <rFont val="Calibri"/>
        <family val="2"/>
        <scheme val="minor"/>
      </rPr>
      <t>Ψ</t>
    </r>
    <r>
      <rPr>
        <sz val="10"/>
        <color theme="1"/>
        <rFont val="Calibri"/>
        <family val="2"/>
        <scheme val="minor"/>
      </rPr>
      <t xml:space="preserve"> </t>
    </r>
    <r>
      <rPr>
        <sz val="11.5"/>
        <color theme="1"/>
        <rFont val="Calibri"/>
        <family val="2"/>
      </rPr>
      <t>)</t>
    </r>
  </si>
  <si>
    <r>
      <t>H</t>
    </r>
    <r>
      <rPr>
        <vertAlign val="subscript"/>
        <sz val="9"/>
        <color theme="1"/>
        <rFont val="Calibri"/>
        <family val="2"/>
        <scheme val="minor"/>
      </rPr>
      <t>tr</t>
    </r>
    <r>
      <rPr>
        <sz val="9"/>
        <color theme="1"/>
        <rFont val="Calibri"/>
        <family val="2"/>
        <scheme val="minor"/>
      </rPr>
      <t xml:space="preserve">   =</t>
    </r>
  </si>
  <si>
    <r>
      <t>Q</t>
    </r>
    <r>
      <rPr>
        <vertAlign val="subscript"/>
        <sz val="10"/>
        <color theme="1"/>
        <rFont val="Calibri"/>
        <family val="2"/>
        <scheme val="minor"/>
      </rPr>
      <t>H,del</t>
    </r>
    <r>
      <rPr>
        <sz val="10"/>
        <color theme="1"/>
        <rFont val="Calibri"/>
        <family val="2"/>
        <scheme val="minor"/>
      </rPr>
      <t xml:space="preserve">   =</t>
    </r>
  </si>
  <si>
    <t>Prima dell'intervento</t>
  </si>
  <si>
    <t>Dopo l'intervento</t>
  </si>
  <si>
    <r>
      <t>Ψ * l</t>
    </r>
    <r>
      <rPr>
        <vertAlign val="subscript"/>
        <sz val="10"/>
        <color theme="1"/>
        <rFont val="Calibri"/>
        <family val="2"/>
        <scheme val="minor"/>
      </rPr>
      <t>Ψ</t>
    </r>
  </si>
  <si>
    <r>
      <t>H</t>
    </r>
    <r>
      <rPr>
        <vertAlign val="subscript"/>
        <sz val="9"/>
        <color theme="1"/>
        <rFont val="Calibri"/>
        <family val="2"/>
        <scheme val="minor"/>
      </rPr>
      <t>tr</t>
    </r>
  </si>
  <si>
    <r>
      <t>U</t>
    </r>
    <r>
      <rPr>
        <vertAlign val="subscript"/>
        <sz val="9"/>
        <color theme="1"/>
        <rFont val="Calibri"/>
        <family val="2"/>
        <scheme val="minor"/>
      </rPr>
      <t>R,0</t>
    </r>
  </si>
  <si>
    <r>
      <t>U</t>
    </r>
    <r>
      <rPr>
        <vertAlign val="subscript"/>
        <sz val="9"/>
        <color theme="1"/>
        <rFont val="Calibri"/>
        <family val="2"/>
        <scheme val="minor"/>
      </rPr>
      <t>R,1</t>
    </r>
  </si>
  <si>
    <r>
      <t>U</t>
    </r>
    <r>
      <rPr>
        <vertAlign val="subscript"/>
        <sz val="9"/>
        <color theme="1"/>
        <rFont val="Calibri"/>
        <family val="2"/>
        <scheme val="minor"/>
      </rPr>
      <t>R,2</t>
    </r>
  </si>
  <si>
    <r>
      <t>U</t>
    </r>
    <r>
      <rPr>
        <vertAlign val="subscript"/>
        <sz val="9"/>
        <color theme="1"/>
        <rFont val="Calibri"/>
        <family val="2"/>
        <scheme val="minor"/>
      </rPr>
      <t>B,0</t>
    </r>
  </si>
  <si>
    <r>
      <t>U</t>
    </r>
    <r>
      <rPr>
        <vertAlign val="subscript"/>
        <sz val="9"/>
        <color theme="1"/>
        <rFont val="Calibri"/>
        <family val="2"/>
        <scheme val="minor"/>
      </rPr>
      <t>B,1</t>
    </r>
    <r>
      <rPr>
        <sz val="11"/>
        <color theme="1"/>
        <rFont val="Calibri"/>
        <family val="2"/>
        <scheme val="minor"/>
      </rPr>
      <t/>
    </r>
  </si>
  <si>
    <r>
      <t>b</t>
    </r>
    <r>
      <rPr>
        <vertAlign val="subscript"/>
        <sz val="10"/>
        <color theme="1"/>
        <rFont val="Calibri"/>
        <family val="2"/>
        <scheme val="minor"/>
      </rPr>
      <t>tr,B</t>
    </r>
  </si>
  <si>
    <r>
      <t>b</t>
    </r>
    <r>
      <rPr>
        <vertAlign val="subscript"/>
        <sz val="10"/>
        <color theme="1"/>
        <rFont val="Calibri"/>
        <family val="2"/>
        <scheme val="minor"/>
      </rPr>
      <t>tr,R</t>
    </r>
  </si>
  <si>
    <r>
      <t>U</t>
    </r>
    <r>
      <rPr>
        <vertAlign val="subscript"/>
        <sz val="9"/>
        <color theme="1"/>
        <rFont val="Calibri"/>
        <family val="2"/>
        <scheme val="minor"/>
      </rPr>
      <t>F,0</t>
    </r>
  </si>
  <si>
    <r>
      <t>U</t>
    </r>
    <r>
      <rPr>
        <vertAlign val="subscript"/>
        <sz val="9"/>
        <color theme="1"/>
        <rFont val="Calibri"/>
        <family val="2"/>
        <scheme val="minor"/>
      </rPr>
      <t>F,1</t>
    </r>
  </si>
  <si>
    <r>
      <t>U</t>
    </r>
    <r>
      <rPr>
        <vertAlign val="subscript"/>
        <sz val="9"/>
        <color theme="1"/>
        <rFont val="Calibri"/>
        <family val="2"/>
        <scheme val="minor"/>
      </rPr>
      <t>F,2</t>
    </r>
  </si>
  <si>
    <r>
      <t>U</t>
    </r>
    <r>
      <rPr>
        <vertAlign val="subscript"/>
        <sz val="9"/>
        <color theme="1"/>
        <rFont val="Calibri"/>
        <family val="2"/>
        <scheme val="minor"/>
      </rPr>
      <t>W,0</t>
    </r>
  </si>
  <si>
    <r>
      <t>U</t>
    </r>
    <r>
      <rPr>
        <vertAlign val="subscript"/>
        <sz val="9"/>
        <color theme="1"/>
        <rFont val="Calibri"/>
        <family val="2"/>
        <scheme val="minor"/>
      </rPr>
      <t>W,1</t>
    </r>
  </si>
  <si>
    <t>pareti</t>
  </si>
  <si>
    <t>pavimenti</t>
  </si>
  <si>
    <t>coperture</t>
  </si>
  <si>
    <t>finestre</t>
  </si>
  <si>
    <t>U value</t>
  </si>
  <si>
    <t>Trasmittanza U</t>
  </si>
  <si>
    <t>riqualificazione</t>
  </si>
  <si>
    <t>Valori per ristrutturazione (in base ai gradi giorno)</t>
  </si>
  <si>
    <t>pareti con isolamento interno</t>
  </si>
  <si>
    <t>Gradi Giorno</t>
  </si>
  <si>
    <t>A</t>
  </si>
  <si>
    <t>B</t>
  </si>
  <si>
    <t>C</t>
  </si>
  <si>
    <t>D</t>
  </si>
  <si>
    <t>Incidenza ponti termici</t>
  </si>
  <si>
    <t>n</t>
  </si>
  <si>
    <t>Installazione recupero termico su UTA o VMC esistente</t>
  </si>
  <si>
    <t>Thermal recovering system on existing AHU or MCV</t>
  </si>
  <si>
    <t>K</t>
  </si>
  <si>
    <t>Ventilazione (ricambi orari)</t>
  </si>
  <si>
    <t>Temperatura interna</t>
  </si>
  <si>
    <t>F2</t>
  </si>
  <si>
    <t>F3</t>
  </si>
  <si>
    <t>Zona climatica</t>
  </si>
  <si>
    <t>F1</t>
  </si>
  <si>
    <t>Efficienza recuperatore di calore</t>
  </si>
  <si>
    <t>d</t>
  </si>
  <si>
    <r>
      <t>d</t>
    </r>
    <r>
      <rPr>
        <vertAlign val="subscript"/>
        <sz val="9"/>
        <color theme="1"/>
        <rFont val="Calibri"/>
        <family val="2"/>
        <scheme val="minor"/>
      </rPr>
      <t>H</t>
    </r>
  </si>
  <si>
    <r>
      <t>V</t>
    </r>
    <r>
      <rPr>
        <vertAlign val="subscript"/>
        <sz val="9"/>
        <color theme="1"/>
        <rFont val="Calibri"/>
        <family val="2"/>
        <scheme val="minor"/>
      </rPr>
      <t>n</t>
    </r>
    <r>
      <rPr>
        <sz val="9"/>
        <color theme="1"/>
        <rFont val="Calibri"/>
        <family val="2"/>
        <scheme val="minor"/>
      </rPr>
      <t xml:space="preserve"> * c</t>
    </r>
    <r>
      <rPr>
        <vertAlign val="subscript"/>
        <sz val="9"/>
        <color theme="1"/>
        <rFont val="Calibri"/>
        <family val="2"/>
        <scheme val="minor"/>
      </rPr>
      <t>a</t>
    </r>
    <r>
      <rPr>
        <sz val="10"/>
        <color theme="1"/>
        <rFont val="Calibri"/>
        <family val="2"/>
        <scheme val="minor"/>
      </rPr>
      <t/>
    </r>
  </si>
  <si>
    <r>
      <t>h</t>
    </r>
    <r>
      <rPr>
        <vertAlign val="subscript"/>
        <sz val="9"/>
        <color theme="1"/>
        <rFont val="Calibri"/>
        <family val="2"/>
        <scheme val="minor"/>
      </rPr>
      <t>H</t>
    </r>
    <r>
      <rPr>
        <sz val="10"/>
        <color theme="1"/>
        <rFont val="Calibri"/>
        <family val="2"/>
        <scheme val="minor"/>
      </rPr>
      <t/>
    </r>
  </si>
  <si>
    <r>
      <t>T</t>
    </r>
    <r>
      <rPr>
        <vertAlign val="subscript"/>
        <sz val="9"/>
        <color theme="1"/>
        <rFont val="Calibri"/>
        <family val="2"/>
        <scheme val="minor"/>
      </rPr>
      <t>i</t>
    </r>
  </si>
  <si>
    <r>
      <rPr>
        <sz val="10"/>
        <color theme="1"/>
        <rFont val="Calibri"/>
        <family val="2"/>
      </rPr>
      <t>φ</t>
    </r>
    <r>
      <rPr>
        <vertAlign val="subscript"/>
        <sz val="10"/>
        <color theme="1"/>
        <rFont val="Calibri"/>
        <family val="2"/>
      </rPr>
      <t>i</t>
    </r>
  </si>
  <si>
    <r>
      <t>[( A</t>
    </r>
    <r>
      <rPr>
        <vertAlign val="subscript"/>
        <sz val="10"/>
        <color theme="1"/>
        <rFont val="Calibri"/>
        <family val="2"/>
        <scheme val="minor"/>
      </rPr>
      <t>R</t>
    </r>
    <r>
      <rPr>
        <sz val="10"/>
        <color theme="1"/>
        <rFont val="Calibri"/>
        <family val="2"/>
        <scheme val="minor"/>
      </rPr>
      <t xml:space="preserve"> * U</t>
    </r>
    <r>
      <rPr>
        <vertAlign val="subscript"/>
        <sz val="10"/>
        <color theme="1"/>
        <rFont val="Calibri"/>
        <family val="2"/>
        <scheme val="minor"/>
      </rPr>
      <t>R</t>
    </r>
    <r>
      <rPr>
        <sz val="10"/>
        <color theme="1"/>
        <rFont val="Calibri"/>
        <family val="2"/>
        <scheme val="minor"/>
      </rPr>
      <t xml:space="preserve"> * b</t>
    </r>
    <r>
      <rPr>
        <vertAlign val="subscript"/>
        <sz val="10"/>
        <color theme="1"/>
        <rFont val="Calibri"/>
        <family val="2"/>
        <scheme val="minor"/>
      </rPr>
      <t>tr,R</t>
    </r>
    <r>
      <rPr>
        <sz val="10"/>
        <color theme="1"/>
        <rFont val="Calibri"/>
        <family val="2"/>
        <scheme val="minor"/>
      </rPr>
      <t xml:space="preserve"> + A</t>
    </r>
    <r>
      <rPr>
        <vertAlign val="subscript"/>
        <sz val="10"/>
        <color theme="1"/>
        <rFont val="Calibri"/>
        <family val="2"/>
        <scheme val="minor"/>
      </rPr>
      <t>B</t>
    </r>
    <r>
      <rPr>
        <sz val="10"/>
        <color theme="1"/>
        <rFont val="Calibri"/>
        <family val="2"/>
        <scheme val="minor"/>
      </rPr>
      <t xml:space="preserve"> * U</t>
    </r>
    <r>
      <rPr>
        <vertAlign val="subscript"/>
        <sz val="10"/>
        <color theme="1"/>
        <rFont val="Calibri"/>
        <family val="2"/>
        <scheme val="minor"/>
      </rPr>
      <t>B</t>
    </r>
    <r>
      <rPr>
        <sz val="10"/>
        <color theme="1"/>
        <rFont val="Calibri"/>
        <family val="2"/>
        <scheme val="minor"/>
      </rPr>
      <t xml:space="preserve"> * b</t>
    </r>
    <r>
      <rPr>
        <vertAlign val="subscript"/>
        <sz val="10"/>
        <color theme="1"/>
        <rFont val="Calibri"/>
        <family val="2"/>
        <scheme val="minor"/>
      </rPr>
      <t>tr,B</t>
    </r>
    <r>
      <rPr>
        <sz val="10"/>
        <color theme="1"/>
        <rFont val="Calibri"/>
        <family val="2"/>
        <scheme val="minor"/>
      </rPr>
      <t xml:space="preserve"> + A</t>
    </r>
    <r>
      <rPr>
        <vertAlign val="subscript"/>
        <sz val="10"/>
        <color theme="1"/>
        <rFont val="Calibri"/>
        <family val="2"/>
        <scheme val="minor"/>
      </rPr>
      <t>F</t>
    </r>
    <r>
      <rPr>
        <sz val="10"/>
        <color theme="1"/>
        <rFont val="Calibri"/>
        <family val="2"/>
        <scheme val="minor"/>
      </rPr>
      <t xml:space="preserve"> * U</t>
    </r>
    <r>
      <rPr>
        <vertAlign val="subscript"/>
        <sz val="10"/>
        <color theme="1"/>
        <rFont val="Calibri"/>
        <family val="2"/>
        <scheme val="minor"/>
      </rPr>
      <t>F</t>
    </r>
    <r>
      <rPr>
        <sz val="10"/>
        <color theme="1"/>
        <rFont val="Calibri"/>
        <family val="2"/>
        <scheme val="minor"/>
      </rPr>
      <t xml:space="preserve"> + A</t>
    </r>
    <r>
      <rPr>
        <vertAlign val="subscript"/>
        <sz val="10"/>
        <color theme="1"/>
        <rFont val="Calibri"/>
        <family val="2"/>
        <scheme val="minor"/>
      </rPr>
      <t>W</t>
    </r>
    <r>
      <rPr>
        <sz val="10"/>
        <color theme="1"/>
        <rFont val="Calibri"/>
        <family val="2"/>
        <scheme val="minor"/>
      </rPr>
      <t xml:space="preserve"> * U</t>
    </r>
    <r>
      <rPr>
        <vertAlign val="subscript"/>
        <sz val="10"/>
        <color theme="1"/>
        <rFont val="Calibri"/>
        <family val="2"/>
        <scheme val="minor"/>
      </rPr>
      <t xml:space="preserve">W </t>
    </r>
    <r>
      <rPr>
        <sz val="10"/>
        <color theme="1"/>
        <rFont val="Calibri"/>
        <family val="2"/>
        <scheme val="minor"/>
      </rPr>
      <t>) + ( Ψ * l</t>
    </r>
    <r>
      <rPr>
        <vertAlign val="subscript"/>
        <sz val="10"/>
        <color theme="1"/>
        <rFont val="Calibri"/>
        <family val="2"/>
        <scheme val="minor"/>
      </rPr>
      <t>Ψ</t>
    </r>
    <r>
      <rPr>
        <sz val="10"/>
        <color theme="1"/>
        <rFont val="Calibri"/>
        <family val="2"/>
        <scheme val="minor"/>
      </rPr>
      <t xml:space="preserve"> </t>
    </r>
    <r>
      <rPr>
        <sz val="11.5"/>
        <color theme="1"/>
        <rFont val="Calibri"/>
        <family val="2"/>
      </rPr>
      <t xml:space="preserve">) </t>
    </r>
    <r>
      <rPr>
        <sz val="10"/>
        <color theme="1"/>
        <rFont val="Calibri"/>
        <family val="2"/>
        <scheme val="minor"/>
      </rPr>
      <t>+ ( V</t>
    </r>
    <r>
      <rPr>
        <vertAlign val="subscript"/>
        <sz val="10"/>
        <color theme="1"/>
        <rFont val="Calibri"/>
        <family val="2"/>
        <scheme val="minor"/>
      </rPr>
      <t>n</t>
    </r>
    <r>
      <rPr>
        <sz val="10"/>
        <color theme="1"/>
        <rFont val="Calibri"/>
        <family val="2"/>
        <scheme val="minor"/>
      </rPr>
      <t xml:space="preserve"> * c</t>
    </r>
    <r>
      <rPr>
        <vertAlign val="subscript"/>
        <sz val="10"/>
        <color theme="1"/>
        <rFont val="Calibri"/>
        <family val="2"/>
        <scheme val="minor"/>
      </rPr>
      <t>a</t>
    </r>
    <r>
      <rPr>
        <sz val="10"/>
        <color theme="1"/>
        <rFont val="Calibri"/>
        <family val="2"/>
        <scheme val="minor"/>
      </rPr>
      <t xml:space="preserve"> * n )] * ( GG * h</t>
    </r>
    <r>
      <rPr>
        <vertAlign val="subscript"/>
        <sz val="10"/>
        <color theme="1"/>
        <rFont val="Calibri"/>
        <family val="2"/>
        <scheme val="minor"/>
      </rPr>
      <t>H</t>
    </r>
    <r>
      <rPr>
        <sz val="10"/>
        <color theme="1"/>
        <rFont val="Calibri"/>
        <family val="2"/>
        <scheme val="minor"/>
      </rPr>
      <t xml:space="preserve"> ) - [( A</t>
    </r>
    <r>
      <rPr>
        <vertAlign val="subscript"/>
        <sz val="10"/>
        <color theme="1"/>
        <rFont val="Calibri"/>
        <family val="2"/>
        <scheme val="minor"/>
      </rPr>
      <t>sol,N</t>
    </r>
    <r>
      <rPr>
        <sz val="10"/>
        <color theme="1"/>
        <rFont val="Calibri"/>
        <family val="2"/>
        <scheme val="minor"/>
      </rPr>
      <t xml:space="preserve"> * I</t>
    </r>
    <r>
      <rPr>
        <vertAlign val="subscript"/>
        <sz val="10"/>
        <color theme="1"/>
        <rFont val="Calibri"/>
        <family val="2"/>
        <scheme val="minor"/>
      </rPr>
      <t>sol,N</t>
    </r>
    <r>
      <rPr>
        <sz val="10"/>
        <color theme="1"/>
        <rFont val="Calibri"/>
        <family val="2"/>
        <scheme val="minor"/>
      </rPr>
      <t xml:space="preserve"> + A</t>
    </r>
    <r>
      <rPr>
        <vertAlign val="subscript"/>
        <sz val="10"/>
        <color theme="1"/>
        <rFont val="Calibri"/>
        <family val="2"/>
        <scheme val="minor"/>
      </rPr>
      <t>sol,E-W</t>
    </r>
    <r>
      <rPr>
        <sz val="10"/>
        <color theme="1"/>
        <rFont val="Calibri"/>
        <family val="2"/>
        <scheme val="minor"/>
      </rPr>
      <t xml:space="preserve"> * I</t>
    </r>
    <r>
      <rPr>
        <vertAlign val="subscript"/>
        <sz val="10"/>
        <color theme="1"/>
        <rFont val="Calibri"/>
        <family val="2"/>
        <scheme val="minor"/>
      </rPr>
      <t>sol,E-W</t>
    </r>
    <r>
      <rPr>
        <sz val="10"/>
        <color theme="1"/>
        <rFont val="Calibri"/>
        <family val="2"/>
        <scheme val="minor"/>
      </rPr>
      <t xml:space="preserve"> + A</t>
    </r>
    <r>
      <rPr>
        <vertAlign val="subscript"/>
        <sz val="10"/>
        <color theme="1"/>
        <rFont val="Calibri"/>
        <family val="2"/>
        <scheme val="minor"/>
      </rPr>
      <t>sol,S</t>
    </r>
    <r>
      <rPr>
        <sz val="10"/>
        <color theme="1"/>
        <rFont val="Calibri"/>
        <family val="2"/>
        <scheme val="minor"/>
      </rPr>
      <t xml:space="preserve">  * I</t>
    </r>
    <r>
      <rPr>
        <vertAlign val="subscript"/>
        <sz val="10"/>
        <color theme="1"/>
        <rFont val="Calibri"/>
        <family val="2"/>
        <scheme val="minor"/>
      </rPr>
      <t xml:space="preserve">sol,S </t>
    </r>
    <r>
      <rPr>
        <sz val="10"/>
        <color theme="1"/>
        <rFont val="Calibri"/>
        <family val="2"/>
        <scheme val="minor"/>
      </rPr>
      <t xml:space="preserve">) + ( </t>
    </r>
    <r>
      <rPr>
        <sz val="10"/>
        <color theme="1"/>
        <rFont val="Calibri"/>
        <family val="2"/>
      </rPr>
      <t>φ</t>
    </r>
    <r>
      <rPr>
        <vertAlign val="subscript"/>
        <sz val="10"/>
        <color theme="1"/>
        <rFont val="Calibri"/>
        <family val="2"/>
      </rPr>
      <t>i</t>
    </r>
    <r>
      <rPr>
        <sz val="10"/>
        <color theme="1"/>
        <rFont val="Calibri"/>
        <family val="2"/>
      </rPr>
      <t xml:space="preserve"> * d</t>
    </r>
    <r>
      <rPr>
        <vertAlign val="subscript"/>
        <sz val="10"/>
        <color theme="1"/>
        <rFont val="Calibri"/>
        <family val="2"/>
      </rPr>
      <t>H</t>
    </r>
    <r>
      <rPr>
        <sz val="10"/>
        <color theme="1"/>
        <rFont val="Calibri"/>
        <family val="2"/>
      </rPr>
      <t xml:space="preserve"> * h</t>
    </r>
    <r>
      <rPr>
        <vertAlign val="subscript"/>
        <sz val="10"/>
        <color theme="1"/>
        <rFont val="Calibri"/>
        <family val="2"/>
      </rPr>
      <t>H</t>
    </r>
    <r>
      <rPr>
        <sz val="10"/>
        <color theme="1"/>
        <rFont val="Calibri"/>
        <family val="2"/>
      </rPr>
      <t xml:space="preserve"> )] * η</t>
    </r>
    <r>
      <rPr>
        <vertAlign val="subscript"/>
        <sz val="10"/>
        <color theme="1"/>
        <rFont val="Calibri"/>
        <family val="2"/>
      </rPr>
      <t>H,gn</t>
    </r>
  </si>
  <si>
    <t>36°</t>
  </si>
  <si>
    <t>37°</t>
  </si>
  <si>
    <t>38°</t>
  </si>
  <si>
    <t>39°</t>
  </si>
  <si>
    <t>40°</t>
  </si>
  <si>
    <t>41°</t>
  </si>
  <si>
    <t>42°</t>
  </si>
  <si>
    <t>43°</t>
  </si>
  <si>
    <t>44°</t>
  </si>
  <si>
    <t>45°</t>
  </si>
  <si>
    <t>46°</t>
  </si>
  <si>
    <t>47°</t>
  </si>
  <si>
    <t>48°</t>
  </si>
  <si>
    <t>35°</t>
  </si>
  <si>
    <t>49°</t>
  </si>
  <si>
    <t>Frazione del telaio</t>
  </si>
  <si>
    <r>
      <t>f</t>
    </r>
    <r>
      <rPr>
        <vertAlign val="subscript"/>
        <sz val="9"/>
        <color theme="1"/>
        <rFont val="Calibri"/>
        <family val="2"/>
        <scheme val="minor"/>
      </rPr>
      <t>F</t>
    </r>
  </si>
  <si>
    <r>
      <t>A</t>
    </r>
    <r>
      <rPr>
        <vertAlign val="subscript"/>
        <sz val="10"/>
        <color theme="1"/>
        <rFont val="Calibri"/>
        <family val="2"/>
        <scheme val="minor"/>
      </rPr>
      <t>sol,N</t>
    </r>
    <r>
      <rPr>
        <sz val="10"/>
        <color theme="1"/>
        <rFont val="Calibri"/>
        <family val="2"/>
        <scheme val="minor"/>
      </rPr>
      <t/>
    </r>
  </si>
  <si>
    <r>
      <t>I</t>
    </r>
    <r>
      <rPr>
        <vertAlign val="subscript"/>
        <sz val="10"/>
        <color theme="1"/>
        <rFont val="Calibri"/>
        <family val="2"/>
        <scheme val="minor"/>
      </rPr>
      <t>sol,N</t>
    </r>
    <r>
      <rPr>
        <sz val="10"/>
        <color theme="1"/>
        <rFont val="Calibri"/>
        <family val="2"/>
        <scheme val="minor"/>
      </rPr>
      <t/>
    </r>
  </si>
  <si>
    <r>
      <t>A</t>
    </r>
    <r>
      <rPr>
        <vertAlign val="subscript"/>
        <sz val="10"/>
        <color theme="1"/>
        <rFont val="Calibri"/>
        <family val="2"/>
        <scheme val="minor"/>
      </rPr>
      <t>sol,E-W</t>
    </r>
  </si>
  <si>
    <r>
      <t>I</t>
    </r>
    <r>
      <rPr>
        <vertAlign val="subscript"/>
        <sz val="10"/>
        <color theme="1"/>
        <rFont val="Calibri"/>
        <family val="2"/>
        <scheme val="minor"/>
      </rPr>
      <t>sol,E-W</t>
    </r>
  </si>
  <si>
    <r>
      <t>A</t>
    </r>
    <r>
      <rPr>
        <vertAlign val="subscript"/>
        <sz val="10"/>
        <color theme="1"/>
        <rFont val="Calibri"/>
        <family val="2"/>
        <scheme val="minor"/>
      </rPr>
      <t>sol,S</t>
    </r>
    <r>
      <rPr>
        <sz val="10"/>
        <color theme="1"/>
        <rFont val="Calibri"/>
        <family val="2"/>
        <scheme val="minor"/>
      </rPr>
      <t xml:space="preserve"> </t>
    </r>
  </si>
  <si>
    <r>
      <t>I</t>
    </r>
    <r>
      <rPr>
        <vertAlign val="subscript"/>
        <sz val="10"/>
        <color theme="1"/>
        <rFont val="Calibri"/>
        <family val="2"/>
        <scheme val="minor"/>
      </rPr>
      <t>sol,S</t>
    </r>
    <r>
      <rPr>
        <sz val="10"/>
        <color theme="1"/>
        <rFont val="Calibri"/>
        <family val="2"/>
        <scheme val="minor"/>
      </rPr>
      <t/>
    </r>
  </si>
  <si>
    <r>
      <rPr>
        <sz val="10"/>
        <color theme="1"/>
        <rFont val="Calibri"/>
        <family val="2"/>
      </rPr>
      <t>d</t>
    </r>
    <r>
      <rPr>
        <vertAlign val="subscript"/>
        <sz val="10"/>
        <color theme="1"/>
        <rFont val="Calibri"/>
        <family val="2"/>
      </rPr>
      <t>H</t>
    </r>
  </si>
  <si>
    <r>
      <t>h</t>
    </r>
    <r>
      <rPr>
        <vertAlign val="subscript"/>
        <sz val="10"/>
        <color theme="1"/>
        <rFont val="Calibri"/>
        <family val="2"/>
      </rPr>
      <t>H</t>
    </r>
    <r>
      <rPr>
        <sz val="10"/>
        <color theme="1"/>
        <rFont val="Calibri"/>
        <family val="2"/>
      </rPr>
      <t/>
    </r>
  </si>
  <si>
    <r>
      <rPr>
        <sz val="10"/>
        <color theme="1"/>
        <rFont val="Calibri"/>
        <family val="2"/>
      </rPr>
      <t>η</t>
    </r>
    <r>
      <rPr>
        <vertAlign val="subscript"/>
        <sz val="10"/>
        <color theme="1"/>
        <rFont val="Calibri"/>
        <family val="2"/>
      </rPr>
      <t>H,gn</t>
    </r>
  </si>
  <si>
    <t>°C</t>
  </si>
  <si>
    <r>
      <t>I</t>
    </r>
    <r>
      <rPr>
        <vertAlign val="subscript"/>
        <sz val="9"/>
        <color theme="1"/>
        <rFont val="Calibri"/>
        <family val="2"/>
        <scheme val="minor"/>
      </rPr>
      <t>sol,h</t>
    </r>
  </si>
  <si>
    <r>
      <t>A</t>
    </r>
    <r>
      <rPr>
        <vertAlign val="subscript"/>
        <sz val="9"/>
        <color theme="1"/>
        <rFont val="Calibri"/>
        <family val="2"/>
        <scheme val="minor"/>
      </rPr>
      <t>W,0,E</t>
    </r>
  </si>
  <si>
    <r>
      <t>A</t>
    </r>
    <r>
      <rPr>
        <vertAlign val="subscript"/>
        <sz val="9"/>
        <color theme="1"/>
        <rFont val="Calibri"/>
        <family val="2"/>
        <scheme val="minor"/>
      </rPr>
      <t>W,0,W</t>
    </r>
  </si>
  <si>
    <r>
      <t>A</t>
    </r>
    <r>
      <rPr>
        <vertAlign val="subscript"/>
        <sz val="9"/>
        <color theme="1"/>
        <rFont val="Calibri"/>
        <family val="2"/>
        <scheme val="minor"/>
      </rPr>
      <t>W,0,S</t>
    </r>
  </si>
  <si>
    <r>
      <t>A</t>
    </r>
    <r>
      <rPr>
        <vertAlign val="subscript"/>
        <sz val="9"/>
        <color theme="1"/>
        <rFont val="Calibri"/>
        <family val="2"/>
        <scheme val="minor"/>
      </rPr>
      <t>W,0,N</t>
    </r>
  </si>
  <si>
    <r>
      <t>A</t>
    </r>
    <r>
      <rPr>
        <vertAlign val="subscript"/>
        <sz val="9"/>
        <color theme="1"/>
        <rFont val="Calibri"/>
        <family val="2"/>
        <scheme val="minor"/>
      </rPr>
      <t>W,1,E</t>
    </r>
  </si>
  <si>
    <r>
      <t>A</t>
    </r>
    <r>
      <rPr>
        <vertAlign val="subscript"/>
        <sz val="9"/>
        <color theme="1"/>
        <rFont val="Calibri"/>
        <family val="2"/>
        <scheme val="minor"/>
      </rPr>
      <t>W,1,W</t>
    </r>
  </si>
  <si>
    <r>
      <t>A</t>
    </r>
    <r>
      <rPr>
        <vertAlign val="subscript"/>
        <sz val="9"/>
        <color theme="1"/>
        <rFont val="Calibri"/>
        <family val="2"/>
        <scheme val="minor"/>
      </rPr>
      <t>W,1,S</t>
    </r>
  </si>
  <si>
    <r>
      <t>A</t>
    </r>
    <r>
      <rPr>
        <vertAlign val="subscript"/>
        <sz val="9"/>
        <color theme="1"/>
        <rFont val="Calibri"/>
        <family val="2"/>
        <scheme val="minor"/>
      </rPr>
      <t>W,1,N</t>
    </r>
  </si>
  <si>
    <t>Fattore solare vetri</t>
  </si>
  <si>
    <t>Fattore medio ombreggiamenti fissi</t>
  </si>
  <si>
    <t>Superficie finestrata media</t>
  </si>
  <si>
    <t>Spessore pareti</t>
  </si>
  <si>
    <t>Fino all'anno</t>
  </si>
  <si>
    <r>
      <t>Q</t>
    </r>
    <r>
      <rPr>
        <vertAlign val="subscript"/>
        <sz val="10"/>
        <color theme="1"/>
        <rFont val="Calibri"/>
        <family val="2"/>
      </rPr>
      <t>H,tr</t>
    </r>
    <r>
      <rPr>
        <sz val="10"/>
        <color theme="1"/>
        <rFont val="Calibri"/>
        <family val="2"/>
      </rPr>
      <t>+Q</t>
    </r>
    <r>
      <rPr>
        <vertAlign val="subscript"/>
        <sz val="10"/>
        <color theme="1"/>
        <rFont val="Calibri"/>
        <family val="2"/>
      </rPr>
      <t>H,ve</t>
    </r>
  </si>
  <si>
    <r>
      <t>Q</t>
    </r>
    <r>
      <rPr>
        <vertAlign val="subscript"/>
        <sz val="10"/>
        <color theme="1"/>
        <rFont val="Calibri"/>
        <family val="2"/>
      </rPr>
      <t>sol</t>
    </r>
    <r>
      <rPr>
        <sz val="10"/>
        <color theme="1"/>
        <rFont val="Calibri"/>
        <family val="2"/>
      </rPr>
      <t>+Q</t>
    </r>
    <r>
      <rPr>
        <vertAlign val="subscript"/>
        <sz val="10"/>
        <color theme="1"/>
        <rFont val="Calibri"/>
        <family val="2"/>
      </rPr>
      <t>int</t>
    </r>
  </si>
  <si>
    <t>γ</t>
  </si>
  <si>
    <t>τ</t>
  </si>
  <si>
    <r>
      <t>a</t>
    </r>
    <r>
      <rPr>
        <vertAlign val="subscript"/>
        <sz val="10"/>
        <color theme="1"/>
        <rFont val="Calibri"/>
        <family val="2"/>
      </rPr>
      <t>H</t>
    </r>
  </si>
  <si>
    <r>
      <t>Q</t>
    </r>
    <r>
      <rPr>
        <b/>
        <vertAlign val="subscript"/>
        <sz val="10"/>
        <color theme="1"/>
        <rFont val="Calibri"/>
        <family val="2"/>
        <scheme val="minor"/>
      </rPr>
      <t>H,nd</t>
    </r>
    <r>
      <rPr>
        <sz val="11"/>
        <color theme="1"/>
        <rFont val="Calibri"/>
        <family val="2"/>
        <scheme val="minor"/>
      </rPr>
      <t/>
    </r>
  </si>
  <si>
    <r>
      <rPr>
        <sz val="10"/>
        <color theme="1"/>
        <rFont val="Calibri"/>
        <family val="2"/>
      </rPr>
      <t>Δ</t>
    </r>
    <r>
      <rPr>
        <sz val="10"/>
        <color theme="1"/>
        <rFont val="Calibri"/>
        <family val="2"/>
        <scheme val="minor"/>
      </rPr>
      <t>Q</t>
    </r>
    <r>
      <rPr>
        <vertAlign val="subscript"/>
        <sz val="10"/>
        <color theme="1"/>
        <rFont val="Calibri"/>
        <family val="2"/>
        <scheme val="minor"/>
      </rPr>
      <t>H,nd</t>
    </r>
    <r>
      <rPr>
        <sz val="11"/>
        <color theme="1"/>
        <rFont val="Calibri"/>
        <family val="2"/>
        <scheme val="minor"/>
      </rPr>
      <t/>
    </r>
  </si>
  <si>
    <r>
      <t>η</t>
    </r>
    <r>
      <rPr>
        <vertAlign val="subscript"/>
        <sz val="10"/>
        <color theme="1"/>
        <rFont val="Calibri"/>
        <family val="2"/>
      </rPr>
      <t>H,e</t>
    </r>
  </si>
  <si>
    <r>
      <t>η</t>
    </r>
    <r>
      <rPr>
        <vertAlign val="subscript"/>
        <sz val="10"/>
        <color theme="1"/>
        <rFont val="Calibri"/>
        <family val="2"/>
      </rPr>
      <t>H,rg</t>
    </r>
  </si>
  <si>
    <r>
      <t>η</t>
    </r>
    <r>
      <rPr>
        <vertAlign val="subscript"/>
        <sz val="10"/>
        <color theme="1"/>
        <rFont val="Calibri"/>
        <family val="2"/>
      </rPr>
      <t>H,d</t>
    </r>
  </si>
  <si>
    <r>
      <t>η</t>
    </r>
    <r>
      <rPr>
        <vertAlign val="subscript"/>
        <sz val="10"/>
        <color theme="1"/>
        <rFont val="Calibri"/>
        <family val="2"/>
      </rPr>
      <t>H,gn</t>
    </r>
  </si>
  <si>
    <t>Capacità termica</t>
  </si>
  <si>
    <t>J</t>
  </si>
  <si>
    <t>struttura leggera</t>
  </si>
  <si>
    <t>struttura media</t>
  </si>
  <si>
    <t>Rendimento di emissione</t>
  </si>
  <si>
    <t>Rendimento di regolazione</t>
  </si>
  <si>
    <t>Rendimento di distribuzione</t>
  </si>
  <si>
    <t>Rendimento di generazione</t>
  </si>
  <si>
    <t>Riduzione per palestre</t>
  </si>
  <si>
    <t>Energia elettrica (pompa di calore)</t>
  </si>
  <si>
    <t>a suitable way to preliminarily  evalute the general potential in the absence of detailed energy audit</t>
  </si>
  <si>
    <t>modalità semplificata adatta a prevedere preliminarmente l'allocazione delle risorse o le potenzialità di risparmio, anche sulla base di una relazione energetica o una  diagnosi semplificata</t>
  </si>
  <si>
    <t>Sostituzione con caldaia a gas metano</t>
  </si>
  <si>
    <t>Cippato</t>
  </si>
  <si>
    <t>Apporti interni</t>
  </si>
  <si>
    <t>Sostituzione con caldaia a pellet</t>
  </si>
  <si>
    <t>Sostituzione con caldaia a legna</t>
  </si>
  <si>
    <t>Sostituzione con caldaia a cippato</t>
  </si>
  <si>
    <t>Compresa acqua calda</t>
  </si>
  <si>
    <t>Sì</t>
  </si>
  <si>
    <t>No</t>
  </si>
  <si>
    <t>Yes</t>
  </si>
  <si>
    <r>
      <t>η</t>
    </r>
    <r>
      <rPr>
        <vertAlign val="subscript"/>
        <sz val="9"/>
        <color theme="1"/>
        <rFont val="Calibri"/>
        <family val="2"/>
      </rPr>
      <t>H,gn</t>
    </r>
  </si>
  <si>
    <t>Incidenza acs sui consumi termici</t>
  </si>
  <si>
    <t>Incidenza illuminazione sui consumi elettrici</t>
  </si>
  <si>
    <r>
      <t>Q</t>
    </r>
    <r>
      <rPr>
        <vertAlign val="subscript"/>
        <sz val="10"/>
        <color theme="1"/>
        <rFont val="Calibri"/>
        <family val="2"/>
        <scheme val="minor"/>
      </rPr>
      <t>H,del</t>
    </r>
  </si>
  <si>
    <r>
      <t>Q</t>
    </r>
    <r>
      <rPr>
        <vertAlign val="subscript"/>
        <sz val="10"/>
        <color theme="1"/>
        <rFont val="Calibri"/>
        <family val="2"/>
        <scheme val="minor"/>
      </rPr>
      <t>W,del</t>
    </r>
  </si>
  <si>
    <r>
      <t>Q</t>
    </r>
    <r>
      <rPr>
        <vertAlign val="subscript"/>
        <sz val="10"/>
        <color theme="1"/>
        <rFont val="Calibri"/>
        <family val="2"/>
        <scheme val="minor"/>
      </rPr>
      <t>H+W,del</t>
    </r>
  </si>
  <si>
    <r>
      <rPr>
        <b/>
        <sz val="10"/>
        <color theme="1"/>
        <rFont val="Calibri"/>
        <family val="2"/>
      </rPr>
      <t>Δ</t>
    </r>
    <r>
      <rPr>
        <b/>
        <sz val="10"/>
        <color theme="1"/>
        <rFont val="Calibri"/>
        <family val="2"/>
        <scheme val="minor"/>
      </rPr>
      <t>Q</t>
    </r>
    <r>
      <rPr>
        <b/>
        <vertAlign val="subscript"/>
        <sz val="10"/>
        <color theme="1"/>
        <rFont val="Calibri"/>
        <family val="2"/>
        <scheme val="minor"/>
      </rPr>
      <t>H+W,del</t>
    </r>
  </si>
  <si>
    <t>Autoconsumo FV elettrico</t>
  </si>
  <si>
    <r>
      <t>Q</t>
    </r>
    <r>
      <rPr>
        <vertAlign val="subscript"/>
        <sz val="10"/>
        <color theme="1"/>
        <rFont val="Calibri"/>
        <family val="2"/>
        <scheme val="minor"/>
      </rPr>
      <t>H+W-FV</t>
    </r>
  </si>
  <si>
    <t>Sostituzione lampade con sistemi a LED</t>
  </si>
  <si>
    <r>
      <t>Q</t>
    </r>
    <r>
      <rPr>
        <vertAlign val="subscript"/>
        <sz val="9"/>
        <color theme="1"/>
        <rFont val="Calibri"/>
        <family val="2"/>
        <scheme val="minor"/>
      </rPr>
      <t>el</t>
    </r>
  </si>
  <si>
    <r>
      <t>Q</t>
    </r>
    <r>
      <rPr>
        <vertAlign val="subscript"/>
        <sz val="9"/>
        <color theme="1"/>
        <rFont val="Calibri"/>
        <family val="2"/>
        <scheme val="minor"/>
      </rPr>
      <t>L</t>
    </r>
  </si>
  <si>
    <r>
      <t>Q</t>
    </r>
    <r>
      <rPr>
        <vertAlign val="subscript"/>
        <sz val="9"/>
        <color theme="1"/>
        <rFont val="Calibri"/>
        <family val="2"/>
        <scheme val="minor"/>
      </rPr>
      <t>LED</t>
    </r>
  </si>
  <si>
    <t>Risparmio sostituzione lampade</t>
  </si>
  <si>
    <t>Risparmio installazione sensori</t>
  </si>
  <si>
    <r>
      <t>Q</t>
    </r>
    <r>
      <rPr>
        <vertAlign val="subscript"/>
        <sz val="9"/>
        <color theme="1"/>
        <rFont val="Calibri"/>
        <family val="2"/>
        <scheme val="minor"/>
      </rPr>
      <t>BACS</t>
    </r>
  </si>
  <si>
    <r>
      <t>Q</t>
    </r>
    <r>
      <rPr>
        <vertAlign val="subscript"/>
        <sz val="9"/>
        <color theme="1"/>
        <rFont val="Calibri"/>
        <family val="2"/>
        <scheme val="minor"/>
      </rPr>
      <t>FV</t>
    </r>
  </si>
  <si>
    <r>
      <t>Q</t>
    </r>
    <r>
      <rPr>
        <vertAlign val="subscript"/>
        <sz val="9"/>
        <color theme="1"/>
        <rFont val="Calibri"/>
        <family val="2"/>
        <scheme val="minor"/>
      </rPr>
      <t>el-FV</t>
    </r>
  </si>
  <si>
    <r>
      <t>Q</t>
    </r>
    <r>
      <rPr>
        <b/>
        <vertAlign val="subscript"/>
        <sz val="9"/>
        <color theme="1"/>
        <rFont val="Calibri"/>
        <family val="2"/>
        <scheme val="minor"/>
      </rPr>
      <t>el</t>
    </r>
  </si>
  <si>
    <r>
      <t>Q</t>
    </r>
    <r>
      <rPr>
        <b/>
        <vertAlign val="subscript"/>
        <sz val="10"/>
        <color theme="1"/>
        <rFont val="Calibri"/>
        <family val="2"/>
        <scheme val="minor"/>
      </rPr>
      <t>H+W,del</t>
    </r>
  </si>
  <si>
    <r>
      <t>ΔQ</t>
    </r>
    <r>
      <rPr>
        <vertAlign val="subscript"/>
        <sz val="9"/>
        <color theme="1"/>
        <rFont val="Calibri"/>
        <family val="2"/>
        <scheme val="minor"/>
      </rPr>
      <t>el</t>
    </r>
  </si>
  <si>
    <t>Produzione FV</t>
  </si>
  <si>
    <t>Produzione FV nel periodo di riscaldamento</t>
  </si>
  <si>
    <t>∑</t>
  </si>
  <si>
    <t xml:space="preserve"> %</t>
  </si>
  <si>
    <r>
      <t>Q</t>
    </r>
    <r>
      <rPr>
        <vertAlign val="subscript"/>
        <sz val="9"/>
        <color theme="1"/>
        <rFont val="Calibri"/>
        <family val="2"/>
        <scheme val="minor"/>
      </rPr>
      <t>plus</t>
    </r>
  </si>
  <si>
    <r>
      <t>Q</t>
    </r>
    <r>
      <rPr>
        <vertAlign val="subscript"/>
        <sz val="9"/>
        <color theme="1"/>
        <rFont val="Calibri"/>
        <family val="2"/>
        <scheme val="minor"/>
      </rPr>
      <t>el-LED-BACS</t>
    </r>
  </si>
  <si>
    <r>
      <t>Q</t>
    </r>
    <r>
      <rPr>
        <vertAlign val="subscript"/>
        <sz val="9"/>
        <color theme="1"/>
        <rFont val="Calibri"/>
        <family val="2"/>
        <scheme val="minor"/>
      </rPr>
      <t>el-plus</t>
    </r>
  </si>
  <si>
    <r>
      <t>Q</t>
    </r>
    <r>
      <rPr>
        <vertAlign val="subscript"/>
        <sz val="10"/>
        <color theme="1"/>
        <rFont val="Calibri"/>
        <family val="2"/>
        <scheme val="minor"/>
      </rPr>
      <t>H+W,plus</t>
    </r>
  </si>
  <si>
    <t>porzione  di edificio interessata</t>
  </si>
  <si>
    <t>Riqualificazione impianto illuminazione</t>
  </si>
  <si>
    <t>sensori di presenza, luminosità, ecc.</t>
  </si>
  <si>
    <t xml:space="preserve">Lighting system energy efficiency improvement </t>
  </si>
  <si>
    <t>presence detection  sensors, brightness, etc</t>
  </si>
  <si>
    <t>Documento compilato da</t>
  </si>
  <si>
    <r>
      <rPr>
        <sz val="10"/>
        <color theme="1"/>
        <rFont val="Calibri"/>
        <family val="2"/>
      </rPr>
      <t>Δ</t>
    </r>
    <r>
      <rPr>
        <sz val="10"/>
        <color theme="1"/>
        <rFont val="Calibri"/>
        <family val="2"/>
        <scheme val="minor"/>
      </rPr>
      <t>Q</t>
    </r>
    <r>
      <rPr>
        <vertAlign val="subscript"/>
        <sz val="10"/>
        <color theme="1"/>
        <rFont val="Calibri"/>
        <family val="2"/>
        <scheme val="minor"/>
      </rPr>
      <t>H+W,del</t>
    </r>
  </si>
  <si>
    <t>Baseline consumi termici</t>
  </si>
  <si>
    <t>Baseline consumi elettrici</t>
  </si>
  <si>
    <t>Maggiorazione temperature esterne rispetto i dati di archivio</t>
  </si>
  <si>
    <t>YEAR 0</t>
  </si>
  <si>
    <t>Operating cash flow: enter values</t>
  </si>
  <si>
    <t>Investing cash flow</t>
  </si>
  <si>
    <t>Net income</t>
  </si>
  <si>
    <t>Decrease (increase) in PP&amp;E, net, cash</t>
  </si>
  <si>
    <t xml:space="preserve">(Gain) loss on disposal of PP&amp;E </t>
  </si>
  <si>
    <t>Depreciation and amortization (expense)</t>
  </si>
  <si>
    <t xml:space="preserve">(Gain) loss on disposal of investments </t>
  </si>
  <si>
    <t>Gain (loss) on sale of PP&amp;E</t>
  </si>
  <si>
    <t>Depreciation</t>
  </si>
  <si>
    <t>Capital expenditures</t>
  </si>
  <si>
    <t>Amortisation</t>
  </si>
  <si>
    <t>Decrease (increase) in investments</t>
  </si>
  <si>
    <t>Total investment (VAT included)</t>
  </si>
  <si>
    <t>Gain (loss) on sale of investments</t>
  </si>
  <si>
    <t>Changes in operating-related assets:</t>
  </si>
  <si>
    <t>Equity method income (loss)</t>
  </si>
  <si>
    <t xml:space="preserve">Decrease (increase) receivables </t>
  </si>
  <si>
    <t>(Purchase) sale of investments</t>
  </si>
  <si>
    <t xml:space="preserve">Decrease (increase) inventory </t>
  </si>
  <si>
    <t>Decrease (increase) in goodwill &amp; intangibles</t>
  </si>
  <si>
    <t xml:space="preserve">Decrease (increase) prepaids </t>
  </si>
  <si>
    <t>Amortization (expense) and impairment (charge)</t>
  </si>
  <si>
    <t xml:space="preserve">Decrease (increase) in tax refund receivable </t>
  </si>
  <si>
    <t>(Purchase) sale of intangibles</t>
  </si>
  <si>
    <t xml:space="preserve">Decrease (increase) in deferred tax assets </t>
  </si>
  <si>
    <t>Decrease (increase) in other assets</t>
  </si>
  <si>
    <t xml:space="preserve">Decrease (increase) in other oper. current assets </t>
  </si>
  <si>
    <t>Gain (loss) on sale of other non-operating assets</t>
  </si>
  <si>
    <t xml:space="preserve">Decrease (increase) in other oper. Non current assets </t>
  </si>
  <si>
    <t>(Purchase) sale of other non-operating assets</t>
  </si>
  <si>
    <t>Changes in operating-related liabilities:</t>
  </si>
  <si>
    <t xml:space="preserve">Increase (decrease) accounts payable </t>
  </si>
  <si>
    <t xml:space="preserve">Increase (decrease) accruals </t>
  </si>
  <si>
    <t>Financing cash flow</t>
  </si>
  <si>
    <t xml:space="preserve">Increase (decrease) deferred revenue </t>
  </si>
  <si>
    <t xml:space="preserve">Increase (decrease) in taxes payable </t>
  </si>
  <si>
    <t>Increase (decrease) in short-term debt</t>
  </si>
  <si>
    <t xml:space="preserve">Increase (decrease) in deferred tax liabilities </t>
  </si>
  <si>
    <t>Increase (decrease) in long-term debt</t>
  </si>
  <si>
    <t xml:space="preserve">Increase (decrease) in other oper. current liab. </t>
  </si>
  <si>
    <t>Gain (loss) on debt retirement</t>
  </si>
  <si>
    <t xml:space="preserve">Increase (decrease) in other oper. non current liab. </t>
  </si>
  <si>
    <t>Net long-term debt financing (retirement)</t>
  </si>
  <si>
    <t xml:space="preserve">Increase (decrease) in accrued interest payable </t>
  </si>
  <si>
    <t>Increase (decrease) in equity</t>
  </si>
  <si>
    <t>(Beg.) R/E</t>
  </si>
  <si>
    <t xml:space="preserve">Subtotal: Changes in operating assets &amp; liabilities </t>
  </si>
  <si>
    <t>Net (income) loss</t>
  </si>
  <si>
    <t>End R/E</t>
  </si>
  <si>
    <t xml:space="preserve">Operating cash flow </t>
  </si>
  <si>
    <t>Dividends declared</t>
  </si>
  <si>
    <t>Increase (decrease) in Dividends Payable</t>
  </si>
  <si>
    <t>Dividends (paid)</t>
  </si>
  <si>
    <t>Increase (decrease) other non-operating liabilities</t>
  </si>
  <si>
    <t>Other unexplained increase (decrease) in R/E</t>
  </si>
  <si>
    <t>YEAR 1-20</t>
  </si>
  <si>
    <r>
      <rPr>
        <b/>
        <i/>
        <sz val="9"/>
        <color rgb="FF0066FF"/>
        <rFont val="Calibri"/>
        <family val="2"/>
        <scheme val="minor"/>
      </rPr>
      <t>Source:</t>
    </r>
    <r>
      <rPr>
        <i/>
        <sz val="9"/>
        <color rgb="FF0066FF"/>
        <rFont val="Calibri"/>
        <family val="2"/>
        <scheme val="minor"/>
      </rPr>
      <t xml:space="preserve">
Cash Flow Construction
Indirect Method Statement of Cash Flows
Charles W. Mulford</t>
    </r>
  </si>
  <si>
    <t>Own capital</t>
  </si>
  <si>
    <t>Amortisation table</t>
  </si>
  <si>
    <t>Payments per year</t>
  </si>
  <si>
    <t>Annual Interest Rate</t>
  </si>
  <si>
    <t>N. of loan payments</t>
  </si>
  <si>
    <t>Start date of Loan</t>
  </si>
  <si>
    <t>payment</t>
  </si>
  <si>
    <t>loan amount</t>
  </si>
  <si>
    <t>interest</t>
  </si>
  <si>
    <t>capital</t>
  </si>
  <si>
    <t>outstanding debt</t>
  </si>
  <si>
    <t>cumulative interest</t>
  </si>
  <si>
    <t>cumulative amount</t>
  </si>
  <si>
    <t>Capitale proprio</t>
  </si>
  <si>
    <t>Importo del mutuo</t>
  </si>
  <si>
    <t>% dell'investimento</t>
  </si>
  <si>
    <t>Rate annuali del mutuo</t>
  </si>
  <si>
    <t>Loan payments per year</t>
  </si>
  <si>
    <t>Loan amount</t>
  </si>
  <si>
    <t>Expected payment</t>
  </si>
  <si>
    <t>Rata prevista</t>
  </si>
  <si>
    <t>Tabella ammortamento</t>
  </si>
  <si>
    <t>Data odierna</t>
  </si>
  <si>
    <t>Today</t>
  </si>
  <si>
    <t>Data di inizio del mutuo</t>
  </si>
  <si>
    <t>Num. rate del mutuo</t>
  </si>
  <si>
    <t>Rate annuali</t>
  </si>
  <si>
    <t>Durata del mutuo</t>
  </si>
  <si>
    <t>Loan period</t>
  </si>
  <si>
    <t>Tasso di interesse annuo</t>
  </si>
  <si>
    <t>INCOME STATEMENT</t>
  </si>
  <si>
    <t>Revenues</t>
  </si>
  <si>
    <t>Sales revenue - concession fee</t>
  </si>
  <si>
    <t>Incentives</t>
  </si>
  <si>
    <t>Cost of goods sold</t>
  </si>
  <si>
    <t>Expenses</t>
  </si>
  <si>
    <t>Total operating expenses</t>
  </si>
  <si>
    <t>Operating income</t>
  </si>
  <si>
    <t>Non-operating income</t>
  </si>
  <si>
    <t>Financial income</t>
  </si>
  <si>
    <t>Interest expenses deductible</t>
  </si>
  <si>
    <t>Income taxes</t>
  </si>
  <si>
    <t>CASH FLOW STATEMENT</t>
  </si>
  <si>
    <t>Net cash flow</t>
  </si>
  <si>
    <t>PIANO ECONOMICO FINANZIARIO</t>
  </si>
  <si>
    <t>Spese</t>
  </si>
  <si>
    <t>Ricavi</t>
  </si>
  <si>
    <t>LEGENDA</t>
  </si>
  <si>
    <t>Earnings Before Interest, Taxes, Depreciation and Amortization</t>
  </si>
  <si>
    <t>EBITDA</t>
  </si>
  <si>
    <t>EBIT</t>
  </si>
  <si>
    <t>IBIE</t>
  </si>
  <si>
    <t>EBT</t>
  </si>
  <si>
    <t>DSCR</t>
  </si>
  <si>
    <t>LCCR</t>
  </si>
  <si>
    <t>LOAN LIFE COVER RATIO</t>
  </si>
  <si>
    <t>DEBT SERVICE COVER RATIO</t>
  </si>
  <si>
    <t>Net Present Value of Cashflow Available for Debt Service / Outstanding Debt</t>
  </si>
  <si>
    <t>Debt service cover ratio</t>
  </si>
  <si>
    <t>Loan life cover ratio</t>
  </si>
  <si>
    <t>EBITDA  / Debt service. Debt service = Loan payment (Current Portion Of Long-Term Debt [CPLTD] + interest). DSCR is calculated on a yearly basis</t>
  </si>
  <si>
    <t>Durata del Piano Economico Finanziario</t>
  </si>
  <si>
    <t>Savings on heat consumption reduction - €/year</t>
  </si>
  <si>
    <t>Savings on electric power supply reduction - €/year</t>
  </si>
  <si>
    <t>Normalized heating price with inflation adjustment</t>
  </si>
  <si>
    <t>Normalized electricty price with inflation adjustment</t>
  </si>
  <si>
    <t>Indexed savings on heat consumption  -  €/year</t>
  </si>
  <si>
    <t>Indexed savings on electric power supply -  €/year</t>
  </si>
  <si>
    <t>Tot. indexed savings -  €/year</t>
  </si>
  <si>
    <t>Subsidy %</t>
  </si>
  <si>
    <t>Subsidy €</t>
  </si>
  <si>
    <t>IRR %</t>
  </si>
  <si>
    <r>
      <t>I</t>
    </r>
    <r>
      <rPr>
        <b/>
        <vertAlign val="subscript"/>
        <sz val="9"/>
        <color theme="1"/>
        <rFont val="Calibri"/>
        <family val="2"/>
        <scheme val="minor"/>
      </rPr>
      <t>o</t>
    </r>
  </si>
  <si>
    <r>
      <t>I</t>
    </r>
    <r>
      <rPr>
        <b/>
        <vertAlign val="subscript"/>
        <sz val="9"/>
        <color theme="1"/>
        <rFont val="Calibri"/>
        <family val="2"/>
        <scheme val="minor"/>
      </rPr>
      <t>n</t>
    </r>
  </si>
  <si>
    <t>Indexed savings per year</t>
  </si>
  <si>
    <t>STDm³</t>
  </si>
  <si>
    <t>precalcolato</t>
  </si>
  <si>
    <t>inserito dall'utente</t>
  </si>
  <si>
    <t>Fonti energetiche per riscaldamento</t>
  </si>
  <si>
    <t>Heating energy sources</t>
  </si>
  <si>
    <t>equivalente a</t>
  </si>
  <si>
    <t>General inflation rate</t>
  </si>
  <si>
    <t>Tasso di inflazione generale</t>
  </si>
  <si>
    <t>Tasso di inflazione prezzi dell'energia elettrica</t>
  </si>
  <si>
    <t>Tasso di inflazione combustibile termico</t>
  </si>
  <si>
    <t>inflation rate of electricity prices</t>
  </si>
  <si>
    <t>Inflation rate of eating energy source</t>
  </si>
  <si>
    <t>Reddito gestione caratteristica</t>
  </si>
  <si>
    <t>Canone di concessione (risparmi indicizzati)</t>
  </si>
  <si>
    <t>Incentivi</t>
  </si>
  <si>
    <t>Costo del venduto</t>
  </si>
  <si>
    <t>TABLE OF CONTENTS</t>
  </si>
  <si>
    <t>Ammortamento</t>
  </si>
  <si>
    <t>Totale delle spese operative</t>
  </si>
  <si>
    <t>Ricavi/costi extra gestione caratteristica</t>
  </si>
  <si>
    <t>Ricavi/costi finanziari</t>
  </si>
  <si>
    <t xml:space="preserve">Earnings Before Interest and Taxes </t>
  </si>
  <si>
    <t>Income Before Interest Expense</t>
  </si>
  <si>
    <t>Interessi deducibili</t>
  </si>
  <si>
    <t>Earnings Before income Taxes</t>
  </si>
  <si>
    <t>Imposte</t>
  </si>
  <si>
    <t>Utile netto</t>
  </si>
  <si>
    <t>RENDICONTO ECONOMICO</t>
  </si>
  <si>
    <t>RENDICONTO FINANZIARIO</t>
  </si>
  <si>
    <t>Flussi di cassa netti</t>
  </si>
  <si>
    <t>Margine Operativo Lordo (Earnings Before Interest, Taxes, Depreciation and Amortization)</t>
  </si>
  <si>
    <t>Utile prima delle tasse e delle imposte (Earnings Before Interest and Taxes )</t>
  </si>
  <si>
    <t>Utile prima degli interessi passivi (Income Before Interest Expense)</t>
  </si>
  <si>
    <t>Utile prima delle imposte (Earnings Before income Taxes)</t>
  </si>
  <si>
    <t>LA DURATA DEL PEF NON PUÒ SUPERARE I 20 ANNI</t>
  </si>
  <si>
    <t>IL MUTUO NON PUÒ SUPERARE LA DURATA DEL PEF</t>
  </si>
  <si>
    <t>Administrative and office expenses, maintenance and insurance costs</t>
  </si>
  <si>
    <t>Normalized costs with inflation adjustment</t>
  </si>
  <si>
    <t>Spese indicizzate al tasso di inflazione</t>
  </si>
  <si>
    <t>Normalizzazione delle spese al tasso di inflazione</t>
  </si>
  <si>
    <t>Spese generali, amministrative, per manutenzione e assicurazioni</t>
  </si>
  <si>
    <t>Tasso di attualizzazione VAN</t>
  </si>
  <si>
    <t>NPV discount rate</t>
  </si>
  <si>
    <t>DATI FINANZIARI DELL'IMPRESA</t>
  </si>
  <si>
    <t>CALCOLO INTERESSI DEDUCIBILI</t>
  </si>
  <si>
    <t>Dati dal PEF</t>
  </si>
  <si>
    <t>CALCOLO IMPOSTE</t>
  </si>
  <si>
    <t>Aumento temp. medie esterne fra 20 anni</t>
  </si>
  <si>
    <t>HDD normalized savings on heat consumption reduction - €/year</t>
  </si>
  <si>
    <t>External average temperature increase</t>
  </si>
  <si>
    <t>Reference HDD</t>
  </si>
  <si>
    <t>Interessi</t>
  </si>
  <si>
    <t>Regole di calcolo nazionali o locali</t>
  </si>
  <si>
    <t>IMPORTO DEL MUTUO TROPPO ELEVATO</t>
  </si>
  <si>
    <t>IRES</t>
  </si>
  <si>
    <t>IRAP</t>
  </si>
  <si>
    <t>Electricity</t>
  </si>
  <si>
    <t>Electricity (heat pump)</t>
  </si>
  <si>
    <t>Irradiation on horizontal plane</t>
  </si>
  <si>
    <t>Primary energy</t>
  </si>
  <si>
    <t>Wall thickness</t>
  </si>
  <si>
    <t>Start of heating season</t>
  </si>
  <si>
    <t>End of heating season</t>
  </si>
  <si>
    <t>windows</t>
  </si>
  <si>
    <t>roof</t>
  </si>
  <si>
    <t>basement floor</t>
  </si>
  <si>
    <t>walls</t>
  </si>
  <si>
    <t>Internal heat gains</t>
  </si>
  <si>
    <t>Natural gas</t>
  </si>
  <si>
    <t>,</t>
  </si>
  <si>
    <r>
      <t>% A</t>
    </r>
    <r>
      <rPr>
        <vertAlign val="subscript"/>
        <sz val="9"/>
        <color theme="1"/>
        <rFont val="Calibri"/>
        <family val="2"/>
        <scheme val="minor"/>
      </rPr>
      <t>pav</t>
    </r>
  </si>
  <si>
    <t>Il presente strumento è stato elaborato nell'ambito del progetto SISMA dai partner di progetto</t>
  </si>
  <si>
    <r>
      <t>m</t>
    </r>
    <r>
      <rPr>
        <sz val="9"/>
        <color theme="1"/>
        <rFont val="Calibri"/>
        <family val="2"/>
      </rPr>
      <t>³</t>
    </r>
  </si>
  <si>
    <r>
      <t>m</t>
    </r>
    <r>
      <rPr>
        <sz val="9"/>
        <color theme="1"/>
        <rFont val="Calibri"/>
        <family val="2"/>
      </rPr>
      <t>²</t>
    </r>
  </si>
  <si>
    <r>
      <t>kWh/m</t>
    </r>
    <r>
      <rPr>
        <sz val="9"/>
        <color theme="1"/>
        <rFont val="Calibri"/>
        <family val="2"/>
      </rPr>
      <t>²y</t>
    </r>
  </si>
  <si>
    <r>
      <t>kWh/m</t>
    </r>
    <r>
      <rPr>
        <sz val="9"/>
        <color theme="1"/>
        <rFont val="Calibri"/>
        <family val="2"/>
      </rPr>
      <t>²a</t>
    </r>
  </si>
  <si>
    <r>
      <t>W/m</t>
    </r>
    <r>
      <rPr>
        <sz val="9"/>
        <color theme="1"/>
        <rFont val="Calibri"/>
        <family val="2"/>
      </rPr>
      <t>²K</t>
    </r>
  </si>
  <si>
    <t>Il metodo di calcolo proposto è un metodo semplificato per una valutazione  preliminare degli aspetti energetici e finanziari correlati agli investimenti volti all'efficienza energetica degli edifici pubblici.</t>
  </si>
  <si>
    <t xml:space="preserve">Gli autori non si assumono alcuna responsabilità per un uso improprio del presente strumento, né per gli eventuali errori di calcolo che possono verificarsi rispetto altre valutazioni effettuate con modalità diverse. </t>
  </si>
  <si>
    <t>Goriška Local Energy Agency - GOLEA</t>
  </si>
  <si>
    <t>GOLEA - Goriška Local Energy Agency</t>
  </si>
  <si>
    <t>RIBERA Consortium</t>
  </si>
  <si>
    <t>INFORMEST</t>
  </si>
  <si>
    <t>Florence Energy Agency - AFE</t>
  </si>
  <si>
    <t>AFE - Agenzia Fiornetina per l'Energia</t>
  </si>
  <si>
    <t>Centre for Renewable Energy Sources and Saving - CRES</t>
  </si>
  <si>
    <t>CRES - Centre for Renewable Energy Sources and Saving</t>
  </si>
  <si>
    <t>Energy Management Agency of Friuli Venezia Giulia - APE FVG</t>
  </si>
  <si>
    <t>APE FVG - Agenzia per l'Energia del Friuli Venezia Giulia</t>
  </si>
  <si>
    <t>Agency for Economic Development - PREDA</t>
  </si>
  <si>
    <t>PREDA - Agency for Economic Development</t>
  </si>
  <si>
    <t>Alternative Energies and Atomic Energy Commission - CEA</t>
  </si>
  <si>
    <t>CEA - Alternative Energies and Atomic Energy Commission</t>
  </si>
  <si>
    <t>Il presente strumento non sostituisce le analisi tecnico-economiche dettagliate che devono sempre essere svolte da professionisti ed esperti del settore.</t>
  </si>
  <si>
    <t>Replacement with methane gas boiler</t>
  </si>
  <si>
    <t>Replacement with pellet boiler</t>
  </si>
  <si>
    <t>Including hot water</t>
  </si>
  <si>
    <t xml:space="preserve">
to cover electricity consumption</t>
  </si>
  <si>
    <t xml:space="preserve">
to cover thermal consumption</t>
  </si>
  <si>
    <t>portion of building concerned</t>
  </si>
  <si>
    <t>installed power</t>
  </si>
  <si>
    <t>inserted by the user</t>
  </si>
  <si>
    <t>precalculated</t>
  </si>
  <si>
    <t xml:space="preserve">Heat consumption baseline </t>
  </si>
  <si>
    <t>HDD baseline</t>
  </si>
  <si>
    <t xml:space="preserve">Electricity consumption baseline </t>
  </si>
  <si>
    <t xml:space="preserve">COMPANY FINANCIAL DATA </t>
  </si>
  <si>
    <t>FINANCIAL PLAN DURATION CAN NOT EXCEED 20 YEAR</t>
  </si>
  <si>
    <t>LOAN AMOUNT TOO HIGH</t>
  </si>
  <si>
    <t>LOAN  DURATION CAN NOT EXCEED THE FINANCIAL PLAN DURATION</t>
  </si>
  <si>
    <t>FINANCIAL PLAN</t>
  </si>
  <si>
    <t>Normalization of expenditure at the inflation rate</t>
  </si>
  <si>
    <t>This tool has been developed within the SISMA project by the project partnerS</t>
  </si>
  <si>
    <t>The proposed method of calculation is a simplified method for a preliminary assessment of energy and financial aspects related to energy efficiency investments in public buildings.</t>
  </si>
  <si>
    <t>This instrument does not replace the detailed technical and economic analyses that must always be carried out by professionals and industry experts.</t>
  </si>
  <si>
    <t>The authors take no responsibility for improper use of this tool, nor for any calculation errors that may occur with other evaluations performed in different ways.</t>
  </si>
  <si>
    <t>VAN flussi di cassa operativo/Debito</t>
  </si>
  <si>
    <t>Indice di copertura del debito</t>
  </si>
  <si>
    <t>Margine Operativo Lordo (MOL)/(Quota capitale annua debito + Oneri finanziari). Viene calcolato su base annuale.</t>
  </si>
  <si>
    <t>Radiation distribution</t>
  </si>
  <si>
    <t>Min. HDD</t>
  </si>
  <si>
    <t>Max. HDD</t>
  </si>
  <si>
    <t>Daily heating hours</t>
  </si>
  <si>
    <t>Conventional heating data</t>
  </si>
  <si>
    <t>HDD distribution</t>
  </si>
  <si>
    <t xml:space="preserve">Heating days distribution </t>
  </si>
  <si>
    <t>Data on fuel</t>
  </si>
  <si>
    <t>Energy cost</t>
  </si>
  <si>
    <t>Calorific power</t>
  </si>
  <si>
    <t>Wood</t>
  </si>
  <si>
    <t>Wood chips</t>
  </si>
  <si>
    <t>LPG</t>
  </si>
  <si>
    <t>Diesel fuel</t>
  </si>
  <si>
    <t>Burning oil</t>
  </si>
  <si>
    <t>Irradiation ratio with respect to the horizontal plane</t>
  </si>
  <si>
    <t xml:space="preserve">Average interior height </t>
  </si>
  <si>
    <t>Inter-floor average gross height</t>
  </si>
  <si>
    <t>Up to a year</t>
  </si>
  <si>
    <t>Gross building height</t>
  </si>
  <si>
    <t>Building dimensions</t>
  </si>
  <si>
    <t xml:space="preserve">Short side max dimension </t>
  </si>
  <si>
    <t>Walls area</t>
  </si>
  <si>
    <t>Area average window</t>
  </si>
  <si>
    <t>Window area</t>
  </si>
  <si>
    <t>Form factor</t>
  </si>
  <si>
    <t>Minimum ratio between the sides</t>
  </si>
  <si>
    <t>Attic</t>
  </si>
  <si>
    <t>Building geometry modeling</t>
  </si>
  <si>
    <t>Dispersing surface area definition</t>
  </si>
  <si>
    <t>Engineering tolerance</t>
  </si>
  <si>
    <t>Total Intervention (1) or partial (2</t>
  </si>
  <si>
    <t>Before intervention</t>
  </si>
  <si>
    <t>After intervention</t>
  </si>
  <si>
    <t>retrofitting</t>
  </si>
  <si>
    <t>Values ​​for renovation (according to day degrees)</t>
  </si>
  <si>
    <t>Walls with internal insulation</t>
  </si>
  <si>
    <t>Thermal bridges incidence</t>
  </si>
  <si>
    <t>Ventilation (air changes/hr)</t>
  </si>
  <si>
    <t>Internal temperature</t>
  </si>
  <si>
    <t>Climatic zone</t>
  </si>
  <si>
    <t>Heat recovery efficiency</t>
  </si>
  <si>
    <t>External temperature increase compared to archive data</t>
  </si>
  <si>
    <t>Frame incidence on the total window area</t>
  </si>
  <si>
    <t>Solar factor</t>
  </si>
  <si>
    <t>Fixed shadings average factor</t>
  </si>
  <si>
    <t>Thermal capacity</t>
  </si>
  <si>
    <t>light structure</t>
  </si>
  <si>
    <t>medium structure</t>
  </si>
  <si>
    <t>Emission efficiency</t>
  </si>
  <si>
    <t>Regulation efficiency</t>
  </si>
  <si>
    <t>Distribution efficiency</t>
  </si>
  <si>
    <t>Generation efficiency</t>
  </si>
  <si>
    <t>Reduction for gyms</t>
  </si>
  <si>
    <t>Incidence of D.H.W. on thermal energy consumption</t>
  </si>
  <si>
    <t>Incidence of lighting on electricity  consumption</t>
  </si>
  <si>
    <t>Internal consumption PV for heat pumps</t>
  </si>
  <si>
    <t>Internal consumption PV for electricity</t>
  </si>
  <si>
    <t>Lamp replacement savings</t>
  </si>
  <si>
    <t>Sensor installation savings</t>
  </si>
  <si>
    <t>PV electricity production</t>
  </si>
  <si>
    <t>PV electricity production during the heating period</t>
  </si>
  <si>
    <t>External average temperature increase in 20 years</t>
  </si>
  <si>
    <t>CALCULATION OF DEDUCTIBLE INTERESTS</t>
  </si>
  <si>
    <t>Financial assessment data</t>
  </si>
  <si>
    <t>National or local calculation rules</t>
  </si>
  <si>
    <t>CALCULATION OF TAXES</t>
  </si>
  <si>
    <t>Interests</t>
  </si>
  <si>
    <t>Energy savings calculation method</t>
  </si>
  <si>
    <t>Operating cash flow</t>
  </si>
  <si>
    <t>Flusso di cassa operativo</t>
  </si>
  <si>
    <t>Flusso di cassa per investimenti</t>
  </si>
  <si>
    <t>Flusso di cassa per finanziamenti</t>
  </si>
  <si>
    <t>Replacement with wood boiler</t>
  </si>
  <si>
    <t>Intervention on all the building envelope</t>
  </si>
  <si>
    <t>Intervention on a part of the walls</t>
  </si>
  <si>
    <t>Intervention on all the building windows</t>
  </si>
  <si>
    <t>Intervention on part of the building windows</t>
  </si>
  <si>
    <t>Intervention on all the roof</t>
  </si>
  <si>
    <t>Intervention on part of the roof</t>
  </si>
  <si>
    <t>Replacement with wood chip boiler</t>
  </si>
  <si>
    <t>to cover electricity consumption</t>
  </si>
  <si>
    <t>Intervention on part of the floor</t>
  </si>
  <si>
    <t>to cover thermal consumption</t>
  </si>
  <si>
    <t>further savings on thermal consumption</t>
  </si>
  <si>
    <t>further savings on electricity consumption</t>
  </si>
  <si>
    <t>Duration of the Financial Plan</t>
  </si>
  <si>
    <t>Srpski</t>
  </si>
  <si>
    <t>Projekat sufinansiran od strane Evropskog fonda za regionalni razvoj</t>
  </si>
  <si>
    <t>OPŠTE INFORMACIJE O IZGRADNJI</t>
  </si>
  <si>
    <t>OPŠTE INFORMACIJE</t>
  </si>
  <si>
    <t>Zgrada</t>
  </si>
  <si>
    <t>Adresa</t>
  </si>
  <si>
    <t>Vlasnik</t>
  </si>
  <si>
    <t>Institucija/Kompanija</t>
  </si>
  <si>
    <t>Izvođač</t>
  </si>
  <si>
    <t>Tip objekta</t>
  </si>
  <si>
    <t>Škola</t>
  </si>
  <si>
    <t>Dvorana</t>
  </si>
  <si>
    <t>Kancelarije</t>
  </si>
  <si>
    <t>Objekat zdravstvene zaštite</t>
  </si>
  <si>
    <t>Pozicija</t>
  </si>
  <si>
    <t>Izolovana zgrada</t>
  </si>
  <si>
    <t>Polu odvojena zgrada</t>
  </si>
  <si>
    <t>Obe strane su polu-odvojene</t>
  </si>
  <si>
    <t>Geografska širina</t>
  </si>
  <si>
    <t>Lokacija</t>
  </si>
  <si>
    <t>Dani grijanja - zagrijavanja (HDD)</t>
  </si>
  <si>
    <t>Godina izgradnje</t>
  </si>
  <si>
    <t>Zapremina zagrijavanja</t>
  </si>
  <si>
    <t>Neto unutrašnja površina</t>
  </si>
  <si>
    <t>Broj spratova sa grijanjem</t>
  </si>
  <si>
    <t>Srednja debljina spoljašnjih zidova</t>
  </si>
  <si>
    <t>Bruto površina</t>
  </si>
  <si>
    <t>Opciono,ako neto unutrašnja površina nije dostupna</t>
  </si>
  <si>
    <t>MJERE POTROŠNJE - TOPLOTNA ENERGIJA</t>
  </si>
  <si>
    <t>MJERE POTROŠNJE - ELEKTRIČNA ENERGIJA</t>
  </si>
  <si>
    <t>potrošnja toplote</t>
  </si>
  <si>
    <t>električna potrošnja</t>
  </si>
  <si>
    <t>Jedinica mjere</t>
  </si>
  <si>
    <t>Godišnji troškovi</t>
  </si>
  <si>
    <t>Gorivo</t>
  </si>
  <si>
    <t>Uključujući vruću vodu</t>
  </si>
  <si>
    <t>Da</t>
  </si>
  <si>
    <t>Ne</t>
  </si>
  <si>
    <t>Trošak toplotne energije</t>
  </si>
  <si>
    <t>Trošak električne energije</t>
  </si>
  <si>
    <t>INTERVENCIJE I PROCJENA INVESTIRANJA</t>
  </si>
  <si>
    <t>Vanjska izolacija zidova (ETICS)</t>
  </si>
  <si>
    <t>Unutrašnja izolacija zidova</t>
  </si>
  <si>
    <t>Izolacija krova</t>
  </si>
  <si>
    <t>Tavan</t>
  </si>
  <si>
    <t>Izolacija prizemlja</t>
  </si>
  <si>
    <t>Zamjena prozora</t>
  </si>
  <si>
    <t>Zamjena kotla</t>
  </si>
  <si>
    <t>Isto gorivo</t>
  </si>
  <si>
    <t>Zamjena sa kotlom na metan gas</t>
  </si>
  <si>
    <t>Zamjena sa kotlom na pelet</t>
  </si>
  <si>
    <t xml:space="preserve">
Zamjena sa kotlom na drvo</t>
  </si>
  <si>
    <t xml:space="preserve">
Zamjena sa kotlom na sječku</t>
  </si>
  <si>
    <t>Toplotna pumpa</t>
  </si>
  <si>
    <t>Instalacija termostatskih ventila</t>
  </si>
  <si>
    <t>Poboljšanje efikasnosti sistema grejanja (regulacija, emisija, distribucija)</t>
  </si>
  <si>
    <t>Sistem za oporavak toplote na postojećim AHU ili MCV</t>
  </si>
  <si>
    <t>Zamjena lampi</t>
  </si>
  <si>
    <t>Poboljšanje energetske efikasnosti sistema osvjetljenja</t>
  </si>
  <si>
    <t>senzori za detekciju prisustva, osvetljenost itd</t>
  </si>
  <si>
    <t>Fotonaponska instalacija</t>
  </si>
  <si>
    <t xml:space="preserve">
Intervencije na svim fasadama zgrade</t>
  </si>
  <si>
    <t xml:space="preserve">
Intervencija na dijelu zidova</t>
  </si>
  <si>
    <t xml:space="preserve">
Intervencija n asvim prozorima zgrade</t>
  </si>
  <si>
    <t>Intervencija na dijelu prozora zgrade</t>
  </si>
  <si>
    <t xml:space="preserve">
Intervencija na cijelom krovu</t>
  </si>
  <si>
    <t xml:space="preserve">
Intervencija na dijelu krova</t>
  </si>
  <si>
    <t xml:space="preserve">
Intervencija na cijelom podu</t>
  </si>
  <si>
    <t>Intervencija na dijelu poda</t>
  </si>
  <si>
    <t>Drugo</t>
  </si>
  <si>
    <t xml:space="preserve">
da pokrije potrošnju električne energije</t>
  </si>
  <si>
    <t xml:space="preserve">
za pokrivanje potrošnje toplotne energije</t>
  </si>
  <si>
    <t>procijenjeni troškovi</t>
  </si>
  <si>
    <t>Naknade za dizajn i izgradnju zgrade</t>
  </si>
  <si>
    <t xml:space="preserve">Troškovi sigurnosti </t>
  </si>
  <si>
    <t>PDV</t>
  </si>
  <si>
    <t>Ukupno</t>
  </si>
  <si>
    <t>PRORAČUN UŠTEDA - IZABERITE OPCIJU</t>
  </si>
  <si>
    <t>Opcija A</t>
  </si>
  <si>
    <t>Opcija B</t>
  </si>
  <si>
    <t xml:space="preserve">pojednostavljena procjena štednje u odnosu na specifične mjere zaštite energije </t>
  </si>
  <si>
    <t>pogodan način da se preliminarno procjeni opšti potencijal u odsustvu detaljne energetske revizije</t>
  </si>
  <si>
    <t>prilagođeni i kalibrisani proračun štednje</t>
  </si>
  <si>
    <t xml:space="preserve"> podaci o uštedama se dobijaju iz detaljne energetske dijagnoze ili iz osnovnog ICP ili ekvivalentnog protokola-&gt; proces štednje koji dovodi do IREE ili slične sertifikacije</t>
  </si>
  <si>
    <t>OPCIJA A</t>
  </si>
  <si>
    <t>OPCIJA B</t>
  </si>
  <si>
    <t>PROCIJENJENE UŠTEDE</t>
  </si>
  <si>
    <t>pogođena površina disperzije</t>
  </si>
  <si>
    <t>Dio zgrade</t>
  </si>
  <si>
    <t>ukupna snaga</t>
  </si>
  <si>
    <t>snaga</t>
  </si>
  <si>
    <t>instalirana snaga</t>
  </si>
  <si>
    <t>Procjenjena ušteda potrošnje toplote</t>
  </si>
  <si>
    <t>Procjenjena ušteda troškova električne energije</t>
  </si>
  <si>
    <t xml:space="preserve">dodatne uštede potrošnje toplote
</t>
  </si>
  <si>
    <t xml:space="preserve">
dodatne uštede potrošnje električne energije</t>
  </si>
  <si>
    <t>Potrebe toplotne energije</t>
  </si>
  <si>
    <t>Sezonski prosjek efikasnosti sistema grejanja</t>
  </si>
  <si>
    <t>Performanse energije grijanja</t>
  </si>
  <si>
    <t>Performanse energije hlađenja</t>
  </si>
  <si>
    <t>D.T.V (domaća topla voda) energetska efikasnost</t>
  </si>
  <si>
    <t>Performanse energije ventilacije</t>
  </si>
  <si>
    <t>Energetske performanse osvjetljenja</t>
  </si>
  <si>
    <t>Energetske performanse liftova i.t.d.</t>
  </si>
  <si>
    <t>Osnovna potrošnja toplote</t>
  </si>
  <si>
    <t>predkalkulacija</t>
  </si>
  <si>
    <t>umetnuti od strane korisnika</t>
  </si>
  <si>
    <t>Izvori toplotne energije</t>
  </si>
  <si>
    <t>HDD osnova</t>
  </si>
  <si>
    <t>Osnovna potrošnja električne energije</t>
  </si>
  <si>
    <t>prije</t>
  </si>
  <si>
    <t>poslije</t>
  </si>
  <si>
    <t>PARAMETRI ZA FINANSIJSKI PRORAČUN</t>
  </si>
  <si>
    <t>metod kalkulacije energetskih ušteda</t>
  </si>
  <si>
    <t>Investicije</t>
  </si>
  <si>
    <t>Ukupne uštede</t>
  </si>
  <si>
    <t>Opšta stopa inflacije</t>
  </si>
  <si>
    <t>uticaj inflacije na cijene električne energije</t>
  </si>
  <si>
    <t>Stopa inflacije izvora toplotne energije</t>
  </si>
  <si>
    <t>popust na PDV</t>
  </si>
  <si>
    <t>Interna stopa povrata</t>
  </si>
  <si>
    <t>Godišnja interesna stopa</t>
  </si>
  <si>
    <t>% ukupnih investicija</t>
  </si>
  <si>
    <t>Inicijalna investicija</t>
  </si>
  <si>
    <t>Indeksirane godišnje uštede</t>
  </si>
  <si>
    <t>Subvencija</t>
  </si>
  <si>
    <t>Godišnji neto novčani tokovi bez subvencija</t>
  </si>
  <si>
    <t>Progresivni novčani tokovi bez subvencija</t>
  </si>
  <si>
    <t>Subvencionisani godišnji neto tokovi gotovine</t>
  </si>
  <si>
    <t>Subvencionisani progresivni gotovinski tokovi</t>
  </si>
  <si>
    <t>Vlastitit kapital</t>
  </si>
  <si>
    <t>Visina pozajmice</t>
  </si>
  <si>
    <t>Period zajma</t>
  </si>
  <si>
    <t>ekvivalentna vrijednost</t>
  </si>
  <si>
    <t>Trajanje finansijskog plana</t>
  </si>
  <si>
    <t>Finansijski podaci preduzeća</t>
  </si>
  <si>
    <t>FINANSIJSKI PLAN NE MOŽE BITI DUŽI OD 20 GODINA</t>
  </si>
  <si>
    <t>VISINA POZAJMICE JE PREVISOKA</t>
  </si>
  <si>
    <t>TRAJANJE KREDITA NE MOŽE BITI DUŽE OD TRAJANJA FINANSIJSKOG PLANA</t>
  </si>
  <si>
    <t>Prihodi</t>
  </si>
  <si>
    <t>BILANS USPJEHA</t>
  </si>
  <si>
    <t>IZVJEŠTAJ O TOKOVIMA GOTOVINE</t>
  </si>
  <si>
    <t>Prihod od prodaje - naknada za koncesiju</t>
  </si>
  <si>
    <t>Podsticaji</t>
  </si>
  <si>
    <t>Nabavna vrijednost prodate robe</t>
  </si>
  <si>
    <t>Administrativni i kancelarijski troškovi, troškovi održavanja i osiguranja</t>
  </si>
  <si>
    <t>Normalizacija troškova po stopi inflacije</t>
  </si>
  <si>
    <t>Amortizacija</t>
  </si>
  <si>
    <t>Operativni prihod</t>
  </si>
  <si>
    <t>Neoperativni dohodak</t>
  </si>
  <si>
    <t>EBIT - dobit prije odbitka (rashodnih) kamata i poreza na dobit</t>
  </si>
  <si>
    <t>Novčani prihod</t>
  </si>
  <si>
    <t>Odbitni kamatni troškovi</t>
  </si>
  <si>
    <t>EBT - Elektronski transfer beneficija</t>
  </si>
  <si>
    <t>Porez na dohodak</t>
  </si>
  <si>
    <t>Neto prihod</t>
  </si>
  <si>
    <t>Operativni novčani tok</t>
  </si>
  <si>
    <t>Ulaganje novčanih tokova</t>
  </si>
  <si>
    <t>Finansiranje gotovinskog toka</t>
  </si>
  <si>
    <t>Neto priliv gotovine</t>
  </si>
  <si>
    <t>DSCR - koeficijent pokrića duga</t>
  </si>
  <si>
    <t>Zarada prije kamate, poreza, amortizacije</t>
  </si>
  <si>
    <t>Dobit pre kamata i poreza</t>
  </si>
  <si>
    <t>Prihod prije kamate</t>
  </si>
  <si>
    <t>Bruto zarada</t>
  </si>
  <si>
    <t>Odnos pokrivanja usluge duga</t>
  </si>
  <si>
    <t>Koeficijent pokrića trajanja kredita</t>
  </si>
  <si>
    <t>EBITDA / servis duga. Usluga duga = Plaćanje zajma (tekući dio dugoročnog duga [CPLTD] + kamata). DSCR se obračunava na godišnjem nivou</t>
  </si>
  <si>
    <t>Neto sadašnja vrijednost novčanih tokova raspoloživa za servisiranje duga / neizmireni dug</t>
  </si>
  <si>
    <t>Ovaj alat je razvijen u okviru projekta SISMA od partnera projekta</t>
  </si>
  <si>
    <t>Agencija za ekonomski razvoj grada Prijedora - PREDA - PD</t>
  </si>
  <si>
    <t>Predloženi način obračuna je pojednostavljena metoda za preliminarnu procjenu energetskih i finansijskih aspekata vezanih za ulaganja u energetsku efikasnost u javne zgrade.</t>
  </si>
  <si>
    <t>Ovaj instrument ne zamjenjuje detaljne tehničke i ekonomske analize koje uvijek moraju izvoditi stručnjaci iz ekonomske oblasti i stručnjaci iz oblasti industrije.</t>
  </si>
  <si>
    <t>Autori ne preuzimaju nikakvu odgovornost za nepravilno korišćenje ovog alata, niti za bilo kakve greške u izračunavanju koje se mogu pojaviti kod drugih evaluacija izvršenih na različite načine.</t>
  </si>
  <si>
    <t>Konvencionalni podaci o grijanju</t>
  </si>
  <si>
    <t>Distribucija zračenja</t>
  </si>
  <si>
    <t>Broj dana grijanja</t>
  </si>
  <si>
    <t>Početak grejne sezone</t>
  </si>
  <si>
    <t>Kraj grejne sezone</t>
  </si>
  <si>
    <t>Dani grijanja</t>
  </si>
  <si>
    <t>Dnevni broj sati grijanja</t>
  </si>
  <si>
    <t>Distribucija dana grejanja</t>
  </si>
  <si>
    <t>HDD distribucija</t>
  </si>
  <si>
    <t>Maj</t>
  </si>
  <si>
    <t>Avg.</t>
  </si>
  <si>
    <t>Okt.</t>
  </si>
  <si>
    <t xml:space="preserve">Podaci o gorivu </t>
  </si>
  <si>
    <t>Primarna energija</t>
  </si>
  <si>
    <t>Troškovi energije</t>
  </si>
  <si>
    <t>Kalorijska snaga</t>
  </si>
  <si>
    <t>energetski nosilac</t>
  </si>
  <si>
    <t>Prirodni gas</t>
  </si>
  <si>
    <t>Dizel gorivo</t>
  </si>
  <si>
    <t>Pregorilo ulje</t>
  </si>
  <si>
    <t>Pelet</t>
  </si>
  <si>
    <t>Drvo</t>
  </si>
  <si>
    <t>Sječka</t>
  </si>
  <si>
    <t>Električna energija</t>
  </si>
  <si>
    <t>Električna energija (pumpa za grijanje)</t>
  </si>
  <si>
    <t>Obrada na horizontalnoj ravni</t>
  </si>
  <si>
    <t>I</t>
  </si>
  <si>
    <t>Z</t>
  </si>
  <si>
    <t>Koeficijent zračenja u odnosu na horizontalnu ravninu</t>
  </si>
  <si>
    <t>Prosječna unutrašnja visina</t>
  </si>
  <si>
    <t>Međuspratna prosječna visina</t>
  </si>
  <si>
    <t>Do godinu dana</t>
  </si>
  <si>
    <t>Debljina zida</t>
  </si>
  <si>
    <t>Bruto površina podruma</t>
  </si>
  <si>
    <t>Bruto površina krova</t>
  </si>
  <si>
    <t>Bruto visina zgrade</t>
  </si>
  <si>
    <t>Dimenzije zgrade</t>
  </si>
  <si>
    <t>Kratka strana maksimalna dimenzija</t>
  </si>
  <si>
    <t>Područje  zidova</t>
  </si>
  <si>
    <t>prozor srednje veličine</t>
  </si>
  <si>
    <t>Područje prozora</t>
  </si>
  <si>
    <t>Forma faktora</t>
  </si>
  <si>
    <t>Minimalan razmak između strana</t>
  </si>
  <si>
    <t>Disperzija definicije površine</t>
  </si>
  <si>
    <t>Inženjerska tolerancija</t>
  </si>
  <si>
    <t>Ukupna intervencija (1) ili parcijalna (2)</t>
  </si>
  <si>
    <t>Prije intervencije</t>
  </si>
  <si>
    <t>Poslije intervencije</t>
  </si>
  <si>
    <t>Vrijednost</t>
  </si>
  <si>
    <t>Zidovi</t>
  </si>
  <si>
    <t>Prizemlje</t>
  </si>
  <si>
    <t>Krov</t>
  </si>
  <si>
    <t>Prozori</t>
  </si>
  <si>
    <t>Vrijednosti za renoviranje (prema danima u kojima se grije)</t>
  </si>
  <si>
    <t>Zidovi sa unutrašnjom izolacijom</t>
  </si>
  <si>
    <t>Incidenca termalnih mostova</t>
  </si>
  <si>
    <t>Ventilacija (promjene vazduha / hr)</t>
  </si>
  <si>
    <t>Unutrašnja temperatura</t>
  </si>
  <si>
    <t>Unutrašnja dobit toplote</t>
  </si>
  <si>
    <t>Klimatska zona</t>
  </si>
  <si>
    <t>Efikasnost oporavka toplote</t>
  </si>
  <si>
    <t>Povećanje spoljne temperature u poređenju sa arhivskim podacima</t>
  </si>
  <si>
    <t>Okvir incidence na ukupnoj površini prozora</t>
  </si>
  <si>
    <t>Sunčev faktor</t>
  </si>
  <si>
    <t>Prosječan faktor fiksnih sjena</t>
  </si>
  <si>
    <t>Termalni kapacitet</t>
  </si>
  <si>
    <t>laka struktura</t>
  </si>
  <si>
    <t>srednja struktura</t>
  </si>
  <si>
    <t>Efikasnost emisije</t>
  </si>
  <si>
    <t>Efikasnost regulacije</t>
  </si>
  <si>
    <t>Efikasnost distribucije</t>
  </si>
  <si>
    <t>Efikasnost generisanja</t>
  </si>
  <si>
    <t>Redukcija za teretane</t>
  </si>
  <si>
    <t>Uticaj D.H.V. na potrošnju toplotne energije</t>
  </si>
  <si>
    <t>Uticaj osvetljenja potrošnje električne energije</t>
  </si>
  <si>
    <t>Unutrašnja potrošnja PV (fotonaponski sistemi)
 za toplotne pumpe</t>
  </si>
  <si>
    <t>Uštede zamjene sijalica</t>
  </si>
  <si>
    <t>Ušteda instalacijom senzora</t>
  </si>
  <si>
    <t>Proizvodnja električne energije PV</t>
  </si>
  <si>
    <t>Proizvodnja električne energije (fotonaponskim sistemom) PV tokom grejnog perioda</t>
  </si>
  <si>
    <t>Povećanje vanjske prosječne temperature za 20 godina</t>
  </si>
  <si>
    <t>Godišnja plaćanja</t>
  </si>
  <si>
    <t>Broj rata (Godina)otplate kredita</t>
  </si>
  <si>
    <t>Datum početka kredita</t>
  </si>
  <si>
    <t>Godišnje isplate kredita - zajma</t>
  </si>
  <si>
    <t>Očekivana isplata</t>
  </si>
  <si>
    <t>Tabela amortizacije</t>
  </si>
  <si>
    <t>Danas</t>
  </si>
  <si>
    <t>Izračunavanje oduzimanja poreza na hipoteku</t>
  </si>
  <si>
    <t>Podaci o finansijskoj procjeni</t>
  </si>
  <si>
    <t>Nacionalna ili lokalna pravila za proračun</t>
  </si>
  <si>
    <t>IZRAČUN POREZA</t>
  </si>
  <si>
    <t>Interesi</t>
  </si>
  <si>
    <t>Στοιχεία συμβατικής θέρμανσης</t>
  </si>
  <si>
    <t>Κατανομή ακτινοβολίας</t>
  </si>
  <si>
    <t>ΒΗΘ</t>
  </si>
  <si>
    <t>Min. ΒΗΘ</t>
  </si>
  <si>
    <t>Max. ΒΗΘ</t>
  </si>
  <si>
    <t>Έναρξη περιόδου θέρμανσης</t>
  </si>
  <si>
    <t>Λήξη περιόδου θέρμανσης</t>
  </si>
  <si>
    <t>Ημέρες θέρμανσης</t>
  </si>
  <si>
    <t>Ώρες θέρμανσης ανά ημέρα</t>
  </si>
  <si>
    <t xml:space="preserve">Κατανομή ημερών θέρμανσης </t>
  </si>
  <si>
    <t>Κατανομή ΒΗΘ</t>
  </si>
  <si>
    <t>Ιαν.</t>
  </si>
  <si>
    <t>Φεβ.</t>
  </si>
  <si>
    <t>Μαρ.</t>
  </si>
  <si>
    <t>Απρ.</t>
  </si>
  <si>
    <t>Μαι.</t>
  </si>
  <si>
    <t>Ιουν.</t>
  </si>
  <si>
    <t>Ιουλ.</t>
  </si>
  <si>
    <t>Αυγ.</t>
  </si>
  <si>
    <t>Σεπ.</t>
  </si>
  <si>
    <t>Οκτ.</t>
  </si>
  <si>
    <t>Νοε.</t>
  </si>
  <si>
    <t>Δεκ.</t>
  </si>
  <si>
    <t>Δεδομένα σχετικά με τα καύσιμα</t>
  </si>
  <si>
    <t>Πρωτογενής ενέργεια</t>
  </si>
  <si>
    <t>Κόστος ενέργειας</t>
  </si>
  <si>
    <t>Θερμική ισχύς</t>
  </si>
  <si>
    <t>Μονάδα μέτρησης</t>
  </si>
  <si>
    <t>Πηγή ενέργειας</t>
  </si>
  <si>
    <t>Φυσικό αέριο</t>
  </si>
  <si>
    <t>Ντήζελ</t>
  </si>
  <si>
    <t>Πετρέλαιο</t>
  </si>
  <si>
    <t>Πέλλετ</t>
  </si>
  <si>
    <t>Ξύλο</t>
  </si>
  <si>
    <t>Βιομάζα</t>
  </si>
  <si>
    <t>Ηλεκτρισμός</t>
  </si>
  <si>
    <t>Ηλεκτρισμός (αντλία θερμότητας)</t>
  </si>
  <si>
    <t>Ακτινοβολία σε οριζόντιο επίπεδο</t>
  </si>
  <si>
    <t>Β</t>
  </si>
  <si>
    <t>Α</t>
  </si>
  <si>
    <t>Ν</t>
  </si>
  <si>
    <t>Δ</t>
  </si>
  <si>
    <t>Αναλογία ακτινοβολίας σε σχέση με το οριζόντιο επίπεδο</t>
  </si>
  <si>
    <t>Μέσο εσωτερικό ύψος</t>
  </si>
  <si>
    <t>Μέσο μικτό ύψος μεταξύ ορόφων</t>
  </si>
  <si>
    <t>Έως ένα έτος</t>
  </si>
  <si>
    <t>Πάχος τοιχοποιίας</t>
  </si>
  <si>
    <t>Συνολική επιφάνεια δαπέδου</t>
  </si>
  <si>
    <t>Συνολική επιφάνεια οροφής</t>
  </si>
  <si>
    <t>Συνολικό ύψος κτιρίου</t>
  </si>
  <si>
    <t>Διαστάσεις κτιρίου</t>
  </si>
  <si>
    <t>Μέγιστη διάσταση της μικρής πλευράς</t>
  </si>
  <si>
    <t>Επιφάνεια τοιχοποιίας</t>
  </si>
  <si>
    <t>Μέση επιφάνεια κουφωμάτων</t>
  </si>
  <si>
    <t>Επιφάνεια κουφωμάτων</t>
  </si>
  <si>
    <t>Συντελεστής κτιρίου Α/V</t>
  </si>
  <si>
    <t>Ελάχιστη αναλογία μεταξύ των πλευρών</t>
  </si>
  <si>
    <t>Στέγη</t>
  </si>
  <si>
    <t>Γεωμετρία κτιριου</t>
  </si>
  <si>
    <t>Κατανομή επιφάνειας</t>
  </si>
  <si>
    <t>Μηχανική αντοχή</t>
  </si>
  <si>
    <t>Συνολική Παρέμβαση (1) ή μερική (2)</t>
  </si>
  <si>
    <t>Πριν την παρέμβαση</t>
  </si>
  <si>
    <t>Μετά την παρέμβαση</t>
  </si>
  <si>
    <t>Τοιχοποιία</t>
  </si>
  <si>
    <t>Δάπεδο ισογείου</t>
  </si>
  <si>
    <t>Οροφή</t>
  </si>
  <si>
    <t>Κουφώματα</t>
  </si>
  <si>
    <t>Ανακαίνιση</t>
  </si>
  <si>
    <t>Τιμές για ανακαίνιση (σύμφωνα με τους βαθμοημέρες)</t>
  </si>
  <si>
    <t>Τοίχοι με εσωτερική θερμομόνωση</t>
  </si>
  <si>
    <t>Θερμογέφυρες</t>
  </si>
  <si>
    <t>Αερισμός (εναλλαγές ανά ώρα)</t>
  </si>
  <si>
    <t>Εσωτερική θερμοκρασία</t>
  </si>
  <si>
    <t>Εσωτερικά θερμικά κέρδη</t>
  </si>
  <si>
    <t>Κλιματική ζώνη</t>
  </si>
  <si>
    <t>Απόδοση ανάκτησης θερμότητας</t>
  </si>
  <si>
    <t>Αύξηση εξωτερικής θερμοκρασίας σε σύγκριση με τα δεδομένα αρχεία</t>
  </si>
  <si>
    <t>Ποσοστό πλαισίου επί της συνολικής  επιφάνειας κουφωμάτων</t>
  </si>
  <si>
    <t>Συντελεστής ηλιακής ακτινοβολίας</t>
  </si>
  <si>
    <t>Μέσος συντελεστής σκίασης από σταθερά σκίαστρα</t>
  </si>
  <si>
    <t>Θερμοχωρητικότητα</t>
  </si>
  <si>
    <t>Ελαφριά κατασκευή</t>
  </si>
  <si>
    <t>Μέτρια κατασκευή</t>
  </si>
  <si>
    <t>Απόδοση εκπομπής</t>
  </si>
  <si>
    <t>Απόδοση ρύθμισης</t>
  </si>
  <si>
    <t>Απόδοση διανομής</t>
  </si>
  <si>
    <t>Απόδοση παραγωγής</t>
  </si>
  <si>
    <t>Μείωση για τα γυμναστήρια</t>
  </si>
  <si>
    <t>% κατανάλωσης θερμικής ενέργειας για ΖΝΧ</t>
  </si>
  <si>
    <t>% κατανάλωσης ηλεκτρικής  ενέργειας για φωτισμό</t>
  </si>
  <si>
    <t xml:space="preserve">Κατανάλωση από Φ/Β για ηλεκτρική  ενέργεια </t>
  </si>
  <si>
    <t>Εξοικονόμηση λόγω αντικατάστασης λαμπτήρων</t>
  </si>
  <si>
    <t>Εξοικονόμηση λόγω τοποθέτησης αισθητήρων</t>
  </si>
  <si>
    <t>Παραγωγή ηλεκτρικής ενέργειας από Φ/Β</t>
  </si>
  <si>
    <t>Παραγωγή ηλεκτρικής ενέργειας από Φ/Β κατά τη χειμερινή περίοδο</t>
  </si>
  <si>
    <t>Μέση αύξηση εξωτερικής θερμοκρασίας σε 20 έτη</t>
  </si>
  <si>
    <t>Πληρωμές ανά έτος</t>
  </si>
  <si>
    <t>Αριθμός πληρωμών δανείου</t>
  </si>
  <si>
    <t>Ημερομηνία έναρξης δανείου</t>
  </si>
  <si>
    <t>Πληρωμές δανείων ανά έτος</t>
  </si>
  <si>
    <t>Αναμενόμενη πληρωμή</t>
  </si>
  <si>
    <t>Πίνακας απόσβεσης</t>
  </si>
  <si>
    <t>Σήμερα</t>
  </si>
  <si>
    <t xml:space="preserve">ΥΠΟΛΟΓΙΣΜΟΣ ΕΚΠΙΠΤΟΜΕΝΩΝ ΤΟΚΩΝ </t>
  </si>
  <si>
    <t>Στοιχεία χρηματοοικονομικής αξιολόγησης</t>
  </si>
  <si>
    <t>Εθνικοί ή τοπικοί κανόνες υπολογισμού</t>
  </si>
  <si>
    <t>ΥΠΟΛΟΓΙΣΜΟΣ ΦΟΡΩΝ</t>
  </si>
  <si>
    <t>Τόκοι</t>
  </si>
  <si>
    <t>Greek/Ελληνικά</t>
  </si>
  <si>
    <t>kWh/m²y</t>
  </si>
  <si>
    <t>Έτη</t>
  </si>
  <si>
    <t>W/m²K</t>
  </si>
  <si>
    <t>Έτος</t>
  </si>
  <si>
    <t>Το έργο συγχρηματοδοτείται από το Ευρωπαϊκό Ταμείο Περιφερειακής Ανάπτυξης</t>
  </si>
  <si>
    <t>Γενικές πληροφορίες του κτιρίου</t>
  </si>
  <si>
    <t>Γενικές πληροφορίες</t>
  </si>
  <si>
    <t>Κτίριο</t>
  </si>
  <si>
    <t>Διεύθυνση</t>
  </si>
  <si>
    <t>Ιδιοκτήτης</t>
  </si>
  <si>
    <t>Ίδρυμα / Εταιρεία</t>
  </si>
  <si>
    <t>Τηλέφωνο / Email</t>
  </si>
  <si>
    <t>Συντάκτης</t>
  </si>
  <si>
    <t>Χρήση κτιρίου</t>
  </si>
  <si>
    <t>Σχολείο</t>
  </si>
  <si>
    <t>Γυμναστήριο</t>
  </si>
  <si>
    <t>Γραφείο</t>
  </si>
  <si>
    <t>Υγείας (νοσοκομείο, ιατρείο, κτλ)</t>
  </si>
  <si>
    <t>Θέση</t>
  </si>
  <si>
    <t>Πανταχόθεν ελεύθερο</t>
  </si>
  <si>
    <t>Μεσοτοιχία στη μία πλευρά</t>
  </si>
  <si>
    <t>Συνεχής δόμηση (μεσοτοιχία και στις δύο πλευρές)</t>
  </si>
  <si>
    <t>Γεωγραφικό πλάτος</t>
  </si>
  <si>
    <t>Τοποθεσία</t>
  </si>
  <si>
    <t>Βαθμοημέρες θέρμανσης (ΒΗΘ)</t>
  </si>
  <si>
    <t>Έτος κατασκευής</t>
  </si>
  <si>
    <t>Θερμαινόμενος όγκος</t>
  </si>
  <si>
    <t>Καθαρή εσωτερική επιφάνεια</t>
  </si>
  <si>
    <t>Αριθμός ορόφων με θέρμανση</t>
  </si>
  <si>
    <t>Μέσο πάχος εξωτερικής τοιχοποιίας</t>
  </si>
  <si>
    <t>Προαιρετικά, εάν η καθαρή εσωτερική επιφάνεια δεν είναι διαθέσιμη</t>
  </si>
  <si>
    <t>ΚΑΤΑΝΑΛΩΣΗ - ΘΕΡΜΙΚΗ ΕΝΕΡΓΕΙΑ</t>
  </si>
  <si>
    <t>ΚΑΤΑΝΑΛΩΣΗ - ΗΛΕΚΤΡΙΚΗ ΕΝΕΡΓΕΙΑ</t>
  </si>
  <si>
    <t>Κατανάλωση για θέρμανση</t>
  </si>
  <si>
    <t>Κατανάλωση για ηλεκτρισμό</t>
  </si>
  <si>
    <t>Ετήσιες δαπάνες</t>
  </si>
  <si>
    <t>Καύσιμο</t>
  </si>
  <si>
    <t>Συμπεριλαμβανομένου του ζεστού νερού</t>
  </si>
  <si>
    <t>Ναι</t>
  </si>
  <si>
    <t>Όχι</t>
  </si>
  <si>
    <t>Κόστος θερμικής ενέργειας</t>
  </si>
  <si>
    <t>Κόστος ηλεκτρικής ενέργειας</t>
  </si>
  <si>
    <t>ΠΑΡΕΜΒΑΣΕΙΣ ΚΑΙ ΕΚΤΙΜΩΜΕΝΕΣ ΕΠΕΝΔΥΣΕΙΣ</t>
  </si>
  <si>
    <t>Σύστημα Εξωτερικής Θερμομόνωσης (ΣΕΘ)</t>
  </si>
  <si>
    <t>Έσωτερική θερμομόνωση τοιχοποιίας</t>
  </si>
  <si>
    <t>Θερμομόνωση οροφής</t>
  </si>
  <si>
    <t>Θερμομόνωση στέγης</t>
  </si>
  <si>
    <t>Θερμομόνωση δαπέδου</t>
  </si>
  <si>
    <t>Αντικατάσταση κουφωμάτων</t>
  </si>
  <si>
    <t>Αντικατάσταση λέβητα</t>
  </si>
  <si>
    <t>Ίδιο καύσιμο</t>
  </si>
  <si>
    <t>Αντικατάσταση με λέβητα αερίου</t>
  </si>
  <si>
    <t>Αντικατάσταση με λέβητα πελλετ</t>
  </si>
  <si>
    <t>Αντικατάσταση με λέβητα καύσης ξύλου</t>
  </si>
  <si>
    <t>Αντικατάσταση με λέβητα βιομάζας</t>
  </si>
  <si>
    <t>Αντλία θερμότητας</t>
  </si>
  <si>
    <t>Τοποθέτηση θερμοστατικών βαλβίδων</t>
  </si>
  <si>
    <t>Βελτίωση απόδοσης συστήματος θέρμανσης (ρύθμιση, εκπομπή, διανομή)</t>
  </si>
  <si>
    <t>Ανάκτηση θερμότητας στην υφιστάμενη Κεντρική Κλιματιστική Μονάδα (ΚΚΜ)</t>
  </si>
  <si>
    <t>Αντικατάσταση λαμπτήρων</t>
  </si>
  <si>
    <t>Βελτίωση της απόδοσης του τεχνητού φωτισμού</t>
  </si>
  <si>
    <t>Αισθητήρες ανίχνευσης παρουσίας, ρύθμιση έντασης φωτισμού, κλπ</t>
  </si>
  <si>
    <t>Εγκατάσταση Φ/Β πανέλων</t>
  </si>
  <si>
    <t>Παρέμβαση στο κτιριακό κέλυφος</t>
  </si>
  <si>
    <t>Παρέμβαση σε μέρος της εξωτερικής τοιχοποίας</t>
  </si>
  <si>
    <t>Παρέμβαση σε όλα τα παράθυρα</t>
  </si>
  <si>
    <t>Παρέμβαση σε μέρος των κουφωμάτων</t>
  </si>
  <si>
    <t>Παρέμβαση σε όλη την οροφή</t>
  </si>
  <si>
    <t>Παρέμβαση σε μέρος της οροφής</t>
  </si>
  <si>
    <t>Παρέμβαση σε όλο το δάπεδο</t>
  </si>
  <si>
    <t>Παρέμβαση σε μέρος του δάπεδο</t>
  </si>
  <si>
    <t>Άλλο</t>
  </si>
  <si>
    <t>για την κάλυψη της κατανάλωσης ηλεκτρικής ενέργειας</t>
  </si>
  <si>
    <t>για την κάλυψη της κατανάλωσης θερμικής ενέργειας</t>
  </si>
  <si>
    <t>Εκτιμώμενο κόστος</t>
  </si>
  <si>
    <t>Τέλη σχεδιασμού και κατασκευής κτιρίου</t>
  </si>
  <si>
    <t>Κόστος ασφάλειας κτιρίου</t>
  </si>
  <si>
    <t>Φ.Π.Α.</t>
  </si>
  <si>
    <t>Σύνολο</t>
  </si>
  <si>
    <t>ΥΠΟΛΟΓΙΣΜΟΣ ΕΞΟΙΚΟΝΟΜΗΣΗΣ - ΕΠΙΛΟΓΗ ΜΕΘΟΔΟΥ</t>
  </si>
  <si>
    <t>Μέθοδος Α</t>
  </si>
  <si>
    <t>Μέθοδος Β</t>
  </si>
  <si>
    <t xml:space="preserve">απλουστευμένη εκτίμηση της εξοικονόμησης σε σχέση με συγκεκριμένα μέτρα εξοικονόμησης ενέργειας </t>
  </si>
  <si>
    <t>ένας κατάλληλος τρόπος για την προκαταρκτική αξιολόγηση του  δυναμικού ελλείψει λεπτομερούς ενεργειακής επιθεώρησης</t>
  </si>
  <si>
    <t>προσαρμοσμένος και βαθμονομημένος υπολογισμός της εξοικονόμησης</t>
  </si>
  <si>
    <t>τα δεδομένα εξοικονόμησης λαμβάνονται από μια λεπτομερή ενεργειακή επιθεώρηση ή από ένα Πρωτόκολλο εμπιστοσύνης των επενδυτών (ICP) ή ισοδύναμη διαδικασία -&gt; εξοικονόμηση που οδηγεί σε πιστοποίηση με βάση το διεθνές πρότυπο Investor Ready Energy Efficiency (IREE) ή παρόμοια πιστοποίηση</t>
  </si>
  <si>
    <t>εκτιμώμενη εξοικονόμηση</t>
  </si>
  <si>
    <t>επιφάνεια εφαρμογής</t>
  </si>
  <si>
    <t>ποιότητα</t>
  </si>
  <si>
    <t>τμήμα κτιρίου που αφορά</t>
  </si>
  <si>
    <t>συνολική ισχύς</t>
  </si>
  <si>
    <t>ισχύς</t>
  </si>
  <si>
    <t>εγκατεστημένη ισχύς</t>
  </si>
  <si>
    <t>Εκτιμώμενη εξοικονόμηση ενέργειας για θέρμανση</t>
  </si>
  <si>
    <t>Εκτιμώμενο εξοικονομούμενο κόστος ηλεκτρικής ισχύος</t>
  </si>
  <si>
    <t>περαιτέρω εξοικονόμηση ενέργειας για θέρμανση</t>
  </si>
  <si>
    <t xml:space="preserve">περαιτέρω εξοικονόμηση ηλεκτρικής ενέργειας </t>
  </si>
  <si>
    <t>Ενεργειακές απαιτήσεις για θέρμανση</t>
  </si>
  <si>
    <t>Εποχιακός μέσος βαθμός απόδοσης συστήματος θέρμανσης</t>
  </si>
  <si>
    <t>Aπόδοση συστήματος θέρμανσης</t>
  </si>
  <si>
    <t>Aπόδοση συστήματος ψύξης</t>
  </si>
  <si>
    <t xml:space="preserve">Aπόδοση για Ζ.Ν.Χ. (Ζεστό Νερό Χρήσης) </t>
  </si>
  <si>
    <t>Aπόδοση για αερισμό</t>
  </si>
  <si>
    <t>Aπόδοση για φωτισμό</t>
  </si>
  <si>
    <t>Aπόδοση για ανελκυστήρες κτλ.</t>
  </si>
  <si>
    <t xml:space="preserve">Κατανάλωση ενέργειας για θέρμανση στην υφιστάμενη κατάσταση  </t>
  </si>
  <si>
    <t>Υπολογισμένο εκ των προτέρων</t>
  </si>
  <si>
    <t>εισάγεται από το χρήστη</t>
  </si>
  <si>
    <t>Πηγές ενέργειας για θέρμανση</t>
  </si>
  <si>
    <t>ΒΗΘ για την υφιστάμενη κατάσταση</t>
  </si>
  <si>
    <t xml:space="preserve">Κατανάλωση ηλεκτρικής ενέργειας στην υφιστάμενη κατάσταση  </t>
  </si>
  <si>
    <t>πριν</t>
  </si>
  <si>
    <t>μετά</t>
  </si>
  <si>
    <t>ΠΑΡΑΜΕΤΡΟΙ ΓΙΑ ΤΟΝ ΥΠΟΛΟΓΙΣΜΟ ΤΩΝ ΟΙΚΟΝΟΜΙΚΩΝ ΜΕΓΕΘΩΝ</t>
  </si>
  <si>
    <t>Μέθοδος υπολογισμού της εξοικονόμησης ενέργειας</t>
  </si>
  <si>
    <t>Επένδυση</t>
  </si>
  <si>
    <t>Εκτιμώμενη εξοικονόμηση ηλεκτρικής ενέργειας</t>
  </si>
  <si>
    <t>Συνολική εξοικονόμηση</t>
  </si>
  <si>
    <t>Γενικός πληθωρισμός</t>
  </si>
  <si>
    <t xml:space="preserve">Πληθωρισμός στις τιμές ηλεκτρικής ενέργειας </t>
  </si>
  <si>
    <t>Πληθωρισμός στα καύσιμα για θέρμανση</t>
  </si>
  <si>
    <t>Ρυθμός μείωσης της Καθαρής Παρούσας Αξίας (ΚΠΑ)</t>
  </si>
  <si>
    <t xml:space="preserve">KΠΑ (NPV) </t>
  </si>
  <si>
    <t>ΕΒΑ (IRR)</t>
  </si>
  <si>
    <t>Ετήσιο επιτόκιο</t>
  </si>
  <si>
    <t>% της συνολικής επένδυσης</t>
  </si>
  <si>
    <t>Αρχική επένδυση</t>
  </si>
  <si>
    <t>Ετήσια εξοικονόμηση</t>
  </si>
  <si>
    <t>Επιδότηση</t>
  </si>
  <si>
    <t>Ετήσιες καθαρές ταμειακές ροές χωρίς επιδότηση</t>
  </si>
  <si>
    <t>Προοδευτικές ταμειακές ροές χωρίς επιδότηση</t>
  </si>
  <si>
    <t>Επιδοτούμενες ετήσιες καθαρές ταμειακές ροές</t>
  </si>
  <si>
    <t>Επιδοτούμενες προοδευτικές ταμειακές ροές</t>
  </si>
  <si>
    <t>Ιδίο κεφάλαιο</t>
  </si>
  <si>
    <t>Ποσό δανείου</t>
  </si>
  <si>
    <t>Περίοδος δανείου</t>
  </si>
  <si>
    <t>ισοδύναμο με</t>
  </si>
  <si>
    <t>Διάρκεια του Χρηματοδοτικού Σχεδίου</t>
  </si>
  <si>
    <t>ΟΙΚΟΝΟΜΙΚΑ ΣΤΟΙΧΕΙΑ ΤΗΣ ΕΤΑΙΡΕΙΑΣ</t>
  </si>
  <si>
    <t>Η ΔΙΑΡΚΕΙΑ ΤΟΥ ΧΡΗΜΑΤΟΟΙΚΟΝΟΜΙΚΟΥ ΣΧΕΔΙΟΥ ΔΕΝ ΜΠΟΡΕΙ ΝΑ ΥΠΕΡΒΑΙΝΕΙ ΤΑ 20 ΕΤΗ</t>
  </si>
  <si>
    <t>ΠΟΣΟ ΔΑΝΕΙΟΥ ΠΟΛΥ ΥΨΗΛΟ</t>
  </si>
  <si>
    <t>Η ΔΙΑΡΚΕΙΑ ΤΟΥ ΔΑΝΕΙΟΥ ΔΕΝ ΜΠΟΡΕΙ ΝΑ ΥΠΕΡΒΑΙΝΕΙ ΤΗ ΔΙΑΡΚΕΙΑ ΤΟΥ ΧΡΗΜΑΤΟΟΙΚΟΝΟΜΙΚΟΥ ΣΧΕΔΙΟΥ</t>
  </si>
  <si>
    <t>ΧΡΗΜΑΤΟΟΙΚΟΝΟΜΙΚΟ ΣΧΕΔΙΟ</t>
  </si>
  <si>
    <t>Έσοδα</t>
  </si>
  <si>
    <t>Έξοδα</t>
  </si>
  <si>
    <t>ΔΗΛΩΣΗ ΕΙΣΟΔΗΜΑΤΟΣ</t>
  </si>
  <si>
    <t>ΔΗΛΩΣΗ ΤΑΜΕΙΑΚΩΝ ΡΟΩΝ</t>
  </si>
  <si>
    <t>Έσοδα από πωλήσεις - τέλος παραχώρησης</t>
  </si>
  <si>
    <t>Κίνητρα</t>
  </si>
  <si>
    <t>Κόστος των αγαθών που πουλήθηκαν</t>
  </si>
  <si>
    <t>ΚΠΕΦΥΑ</t>
  </si>
  <si>
    <t>Διοικητικά έξοδα και έξοδα γραφείου, συντήρησης και ασφάλισης</t>
  </si>
  <si>
    <t>Κανονικοποίηση των δαπανών με ρυθμό πληθωρισμού</t>
  </si>
  <si>
    <t>Απόσβεση</t>
  </si>
  <si>
    <t>Κανονικοποιημένο κόστος με προσαρμογή του πληθωρισμού</t>
  </si>
  <si>
    <t>Συνολικά λειτουργικά έξοδα</t>
  </si>
  <si>
    <t>Λειτουργικά έσοδα</t>
  </si>
  <si>
    <t>Μη λειτουργικά έσοδα</t>
  </si>
  <si>
    <t>ΚΠΕΦ</t>
  </si>
  <si>
    <t>Εισόδημα</t>
  </si>
  <si>
    <t>ΕΠΕΤ</t>
  </si>
  <si>
    <t>Έξοδα από τόκους που εκπίπτουν</t>
  </si>
  <si>
    <t>ΚΠΦΕ</t>
  </si>
  <si>
    <t>Φόρος εισοδήματος</t>
  </si>
  <si>
    <t>Καθαρά έσοδα</t>
  </si>
  <si>
    <t>Λειτουργική ταμειακή ροή</t>
  </si>
  <si>
    <t>Επένδυση ταμειακών ροών</t>
  </si>
  <si>
    <t>Χρηματοδότηση ταμειακών ροών</t>
  </si>
  <si>
    <t>Καθαρή ροή μετρητών</t>
  </si>
  <si>
    <t>ΑΚΕΔ (DSCR)</t>
  </si>
  <si>
    <t>ΔΚΔΔ (LCCR)</t>
  </si>
  <si>
    <t>ΑΝΑΛΟΓΙΑ ΚΑΛΥΨΗΣ ΤΗΣ ΕΞΥΠΗΡΕΤΗΣΗΣ ΤΟΥ ΧΡΕΟΥΣ (ΑΚΕΔ)</t>
  </si>
  <si>
    <t>ΔΕΙΚΤΗΣ ΚΑΛΥΨΗΣ ΚΑΤΑ ΤΗ ΔΙΑΡΚΕΙΑ ΤΟΥ ΔΑΝΕΙΟΥ (ΔΚΔΔ)</t>
  </si>
  <si>
    <t>ΠΙΝΑΚΑΣ ΠΕΡΙΕΧΟΜΕΝΩΝ</t>
  </si>
  <si>
    <t>Κέρδη Προ Επιτοκίων, Φόρων, Υποτιμήσεων και Αποσβέσεων</t>
  </si>
  <si>
    <t xml:space="preserve">Κέρδη Προ Επιτοκίων και Φόρων </t>
  </si>
  <si>
    <t>Έσοδα Προ Εξόδων Τόκων</t>
  </si>
  <si>
    <t>Κέρδη Προ Φόρων Εισοδήματος</t>
  </si>
  <si>
    <t>Αναλογία κάλυψης της εξυπηρέτησης του χρέους</t>
  </si>
  <si>
    <t>Δείκτης κάλυψης κατά τη διάρκεια του δανείου</t>
  </si>
  <si>
    <t>ΚΠΕΦΥΑ  / Εξυπηρέτηση χρέους.  Εξυπηρέτηση χρέους =  πληρωμή δανείου (Τρέχουσα Μερίδα Μακροπρόθεσμου Χρέους [CPLTD] + τόκοι). Η ΑΚΕΔ υπολογίζεται σε ετήσια βάση</t>
  </si>
  <si>
    <t>Καθαρή Παρούσα Αξία της ταμειακής ροής διαθέσιμη για την υπηρεσία χρέους / εκκρεμές χρέος</t>
  </si>
  <si>
    <t>Το εργαλείο αυτό αναπτύχθηκε στο πλαίσιο του έργου SISMA από τους εταίρους του έργου</t>
  </si>
  <si>
    <t>Κέντρο Ανανεώσιμων Πηγών και Εξοικονόμησης Ενέργειας - ΚΑΠΕ</t>
  </si>
  <si>
    <t>Η προτεινόμενη μέθοδος υπολογισμού είναι μια απλοποιημένη μέθοδος προκαταρκτικής αξιολόγησης των ενεργειακών και χρηματοοικονομικών στοιχείων που σχετίζονται με τις επενδύσεις ενεργειακής απόδοσης στα δημόσια κτίρια.</t>
  </si>
  <si>
    <t>Το εργαλείο αυτό δεν αντικαθιστά τις λεπτομερείς τεχνικές και οικονομικές αναλύσεις που πρέπει πάντα να διεξάγονται από επαγγελματίες και εμπειρογνώμονες του κλάδου.</t>
  </si>
  <si>
    <t>Οι συγγραφείς δεν αναλαμβάνουν καμία ευθύνη για την ακατάλληλη χρήση αυτού του εργαλείου ούτε για τυχόν σφάλματα υπολογισμού που ενδέχεται να προκύψουν με άλλες αξιολογήσεις που εκτελούνται με διαφορετικούς τρόπους.</t>
  </si>
  <si>
    <t>Español</t>
  </si>
  <si>
    <t>kWh/año</t>
  </si>
  <si>
    <r>
      <t>kWh/m</t>
    </r>
    <r>
      <rPr>
        <sz val="9"/>
        <color theme="1"/>
        <rFont val="Calibri"/>
        <family val="2"/>
      </rPr>
      <t>²año</t>
    </r>
  </si>
  <si>
    <t>€/año</t>
  </si>
  <si>
    <t>años</t>
  </si>
  <si>
    <t>año</t>
  </si>
  <si>
    <t>Proyecto cofinanciado por el Fondo Europeo de Desarrollo Regional (FEDER)</t>
  </si>
  <si>
    <t>INFORMACIÓN GENERAL DEL EDIFICIO</t>
  </si>
  <si>
    <t>INFORMACIÓN GENERAL</t>
  </si>
  <si>
    <t>Dirección</t>
  </si>
  <si>
    <t>Propietario</t>
  </si>
  <si>
    <t>Entidad / Compañía</t>
  </si>
  <si>
    <t>Teléfono / Email</t>
  </si>
  <si>
    <t>Documento elaborado por</t>
  </si>
  <si>
    <t>Tipo de edificio</t>
  </si>
  <si>
    <t>Escuela</t>
  </si>
  <si>
    <t>Polideportivo</t>
  </si>
  <si>
    <t>Oficinas</t>
  </si>
  <si>
    <t>Centro de salud</t>
  </si>
  <si>
    <t>Posición</t>
  </si>
  <si>
    <t>Edificio aislado</t>
  </si>
  <si>
    <t>Adosado a un lado</t>
  </si>
  <si>
    <t>Adosado a ambos lados</t>
  </si>
  <si>
    <t>Latitud</t>
  </si>
  <si>
    <t>Grados día</t>
  </si>
  <si>
    <t>Año de construcción</t>
  </si>
  <si>
    <t>Volumen climatizado</t>
  </si>
  <si>
    <t>Superficie útil</t>
  </si>
  <si>
    <t>Num pisos con calefacción</t>
  </si>
  <si>
    <t>Espesor medio de las paredes exteriores</t>
  </si>
  <si>
    <t>Superficie construída</t>
  </si>
  <si>
    <t>Opcional si no se conoce la superficie útil</t>
  </si>
  <si>
    <t>CONSUMO-ENERGÍA TÉRMICA</t>
  </si>
  <si>
    <t>CONSUMO-ELECTRICIDAD</t>
  </si>
  <si>
    <t>consumo térmico</t>
  </si>
  <si>
    <t>consumo eléctrico</t>
  </si>
  <si>
    <t>Unidad de medida</t>
  </si>
  <si>
    <t>gasto anual</t>
  </si>
  <si>
    <t>Combustible</t>
  </si>
  <si>
    <t>Incluye ACS</t>
  </si>
  <si>
    <t>Sí</t>
  </si>
  <si>
    <t>Coste de la energía térmica</t>
  </si>
  <si>
    <t>Coste de la electricidad</t>
  </si>
  <si>
    <t>INTERVENCIONES E INVERSIÓN ESTIMADA</t>
  </si>
  <si>
    <t>Aislamiento externo de las paredes</t>
  </si>
  <si>
    <t>Aislamiento interno de las paredes</t>
  </si>
  <si>
    <t>Aislamiento de la cubierta</t>
  </si>
  <si>
    <t>Aislamiento del ático</t>
  </si>
  <si>
    <t>Aislamiento del suelo</t>
  </si>
  <si>
    <t>Cambio de ventanas</t>
  </si>
  <si>
    <t>Cambio de caldera</t>
  </si>
  <si>
    <t>Mismo combustible</t>
  </si>
  <si>
    <t>Sustitución por caldera de gas metano</t>
  </si>
  <si>
    <t>Sustitución por caldera de pellets</t>
  </si>
  <si>
    <t>Sustitución por caldera de leña</t>
  </si>
  <si>
    <t>Sustitución por caldera de astillas de madera</t>
  </si>
  <si>
    <t>Bomba de calor</t>
  </si>
  <si>
    <t>Instalación de válvulas termostáticas</t>
  </si>
  <si>
    <t>Mejorar la eficiencia dels sistema de calefacción (regulación, distribución, emisión)</t>
  </si>
  <si>
    <t>Recuperación de calor en sistemas de calefacción por aire (AHU) o con válvula de control y equilibrado (MCV)</t>
  </si>
  <si>
    <t>Sustitución de luminarias</t>
  </si>
  <si>
    <t>Mejora de la eficiencia del sistema de iluminación</t>
  </si>
  <si>
    <t>detectores de presencia, sensores de luz, etc</t>
  </si>
  <si>
    <t>Instalación fotovoltaica</t>
  </si>
  <si>
    <t>Intervención en la envoltura del edificio</t>
  </si>
  <si>
    <t>Intervención en parte de las paredes</t>
  </si>
  <si>
    <t>Intervención en todas las ventanas del edificio</t>
  </si>
  <si>
    <t>Intervención en parte de las ventanas del edificio</t>
  </si>
  <si>
    <t>Intervención en toda la cubierta</t>
  </si>
  <si>
    <t>Intervención en parte de la cubierta</t>
  </si>
  <si>
    <t>Intervención en todo el suelo</t>
  </si>
  <si>
    <t>Intervención en parte del suelo</t>
  </si>
  <si>
    <t>Otro</t>
  </si>
  <si>
    <t>cubrir el consumo de electricidad</t>
  </si>
  <si>
    <t>cubrir el consumo de energía térmica</t>
  </si>
  <si>
    <t>coste estimado</t>
  </si>
  <si>
    <t>Honorarios pofesionales relativos al diseño y construcción</t>
  </si>
  <si>
    <t>Costes pólizas seguros edificio</t>
  </si>
  <si>
    <t>OPCIONES DE CÁLCULO DE AHORROS</t>
  </si>
  <si>
    <t>Opción A</t>
  </si>
  <si>
    <t>Opción B</t>
  </si>
  <si>
    <t>estimación simplificada de ahorros en función de medidas específicas de ahorro de energía</t>
  </si>
  <si>
    <t>evaluación preliminar del potencial de ahorro en ausencia de una auditoría previa</t>
  </si>
  <si>
    <t xml:space="preserve">cálculo de ahorros adaptado a las particularidades del edificio </t>
  </si>
  <si>
    <t>cálculo de ahorros a partir de datos de auditoría, protocolo ICP, protocolo para obtener la certificación IREE o similar.</t>
  </si>
  <si>
    <t>OPCIÓN A</t>
  </si>
  <si>
    <t>OPCIÓN B</t>
  </si>
  <si>
    <t>ahorros estimados</t>
  </si>
  <si>
    <t>superficie de dispersión afectada</t>
  </si>
  <si>
    <t>parte del edificio afectada</t>
  </si>
  <si>
    <t>potencia total</t>
  </si>
  <si>
    <t>potencia</t>
  </si>
  <si>
    <t>potencia instalada</t>
  </si>
  <si>
    <t>Ahorros estimados en energía térmica</t>
  </si>
  <si>
    <t>Ahorros estimados en consumo de electricidad</t>
  </si>
  <si>
    <t>ahorros adicionales en consumo de energía térmica</t>
  </si>
  <si>
    <t>ahorros adicionales en consumo de electricidad</t>
  </si>
  <si>
    <t>Necesidades de energía térmica</t>
  </si>
  <si>
    <t>Rendimiento medio estacional del sistema de calefacción</t>
  </si>
  <si>
    <t>Rendimiento energético sistema calefacción</t>
  </si>
  <si>
    <t>Rendimiento energético sistema de refrigeración</t>
  </si>
  <si>
    <t>Eficiencia energética del sistema de ACS (Agua Caliente Sanitaria)</t>
  </si>
  <si>
    <t>Rendimiento energético sistema de ventilación</t>
  </si>
  <si>
    <t>Rendimiento energético iluminación</t>
  </si>
  <si>
    <t>Rendimiento energético ascensores, etc</t>
  </si>
  <si>
    <t>Consumo de energía térmica de referencia</t>
  </si>
  <si>
    <t>precalculado</t>
  </si>
  <si>
    <t>introducido por el usuario</t>
  </si>
  <si>
    <t>Fuentes de energía térmica</t>
  </si>
  <si>
    <t>Grados día de referencia</t>
  </si>
  <si>
    <t>Consumo eléctrico de referencia</t>
  </si>
  <si>
    <t>antes</t>
  </si>
  <si>
    <t>después</t>
  </si>
  <si>
    <t>PARÁMETROS PARA EL CÁLCULO FINANCIERO</t>
  </si>
  <si>
    <t>Método de cálculo de los ahorros energéticos</t>
  </si>
  <si>
    <t>Inversión</t>
  </si>
  <si>
    <t>Ahorros totales</t>
  </si>
  <si>
    <t>Tasa de inflación general</t>
  </si>
  <si>
    <t>Tasa de inflación del precio de la electricidad</t>
  </si>
  <si>
    <t>Tasa de inflación del combustible</t>
  </si>
  <si>
    <t>Tasa de actualización del VAN</t>
  </si>
  <si>
    <t>Tasa de interés anual</t>
  </si>
  <si>
    <t>% de inversión</t>
  </si>
  <si>
    <t>Inversión inicial</t>
  </si>
  <si>
    <t>Ahorros anuales indexados</t>
  </si>
  <si>
    <t>Subvención</t>
  </si>
  <si>
    <t>Flujo de tesorería neto anual sin subvención</t>
  </si>
  <si>
    <t>Flujo de tesorería progresivo sin subvención</t>
  </si>
  <si>
    <t>Flujo de tesorería neto anual con subvención</t>
  </si>
  <si>
    <t>Flujo de tesorería progresivo con subvención</t>
  </si>
  <si>
    <t>Capital propio</t>
  </si>
  <si>
    <t>Importe del préstamo</t>
  </si>
  <si>
    <t>Duración préstamo</t>
  </si>
  <si>
    <t xml:space="preserve">equivalente a </t>
  </si>
  <si>
    <t>Duración del Plan Financiero</t>
  </si>
  <si>
    <t>LA DURACIÓN DEL PLAN FINANCIERO NO PUEDE SUPERAR LOS 20 AÑOS</t>
  </si>
  <si>
    <t>IMPORTE DEL PRÉSTAMO DEMASIADO ELEVADO</t>
  </si>
  <si>
    <t>LA DURACIÓN DEL PRÉSTAMO NO PUEDE SUPERAR LA DURACIÓN DEL PLAN FINANCIERO</t>
  </si>
  <si>
    <t>PLAN ECONÓMICO Y FINANCIERO</t>
  </si>
  <si>
    <t>Ingresos</t>
  </si>
  <si>
    <t>Gastos</t>
  </si>
  <si>
    <t>INFORME ECONÓMICO</t>
  </si>
  <si>
    <t>INFORME FINANCIERO</t>
  </si>
  <si>
    <t>Canon de concesión (ahorros fijos)</t>
  </si>
  <si>
    <t>Incentivos</t>
  </si>
  <si>
    <t>Importe de las ventas</t>
  </si>
  <si>
    <t>Gastos generales y de administración, de mantenimiento y pólizas de seguros.</t>
  </si>
  <si>
    <t>Normalización del gasto a la tasa de inflación</t>
  </si>
  <si>
    <t>Amortización</t>
  </si>
  <si>
    <t>Gastos indexados a la tasa de inflación</t>
  </si>
  <si>
    <t>Gastos totales de operación</t>
  </si>
  <si>
    <t>Ingresos de explotación</t>
  </si>
  <si>
    <t>Ingresos no derivados de la explotación</t>
  </si>
  <si>
    <t>Ingresos financieros</t>
  </si>
  <si>
    <t>Intereses deducibles</t>
  </si>
  <si>
    <t>Impuestos</t>
  </si>
  <si>
    <t>Ingresos netos</t>
  </si>
  <si>
    <t>Flujo de tesorería para la operación</t>
  </si>
  <si>
    <t>Flujo de tesorería para la inversión</t>
  </si>
  <si>
    <t>Flujo de tesorería para la financiación</t>
  </si>
  <si>
    <t>Flujo de tesorería neto</t>
  </si>
  <si>
    <t>RATIO DE COBERTURA DEL SERVICIO DE LA DEUDA</t>
  </si>
  <si>
    <t>RATIO DE COBERTURA DEL PRÉSTAMO</t>
  </si>
  <si>
    <t>TABLA DE CONTENIDO</t>
  </si>
  <si>
    <t>Ganancias sin contar intereses, impuestos, depreciación y amortización</t>
  </si>
  <si>
    <t>Ganancias sin contar intereses e impuestos</t>
  </si>
  <si>
    <t>Ganancias sin contar intereses</t>
  </si>
  <si>
    <t>Ganancias sin contar impuestos</t>
  </si>
  <si>
    <t>Ratio de cobertura del servicio de la deuda</t>
  </si>
  <si>
    <t>Ratio de cobertura del préstamo</t>
  </si>
  <si>
    <t>EBITDA  / Servicio de la deuda. Servicio de la deuda = Pago del préstamo (cuota del préstamo+intereses). Se calcula en base anual</t>
  </si>
  <si>
    <t>VAN flujo de tesorería operativo/Deuda</t>
  </si>
  <si>
    <t xml:space="preserve">Esta herramienta ha sido desarrollada por los socios del proyecto SISMA </t>
  </si>
  <si>
    <t>Consorci de la Ribera</t>
  </si>
  <si>
    <t>El método de cálculo propuesto es un método simplificado para una valoración preliminar de aspectos energéticos y financieros ligados a la inversión en eficiencia energética en edificios públicos.</t>
  </si>
  <si>
    <t>Este instrumento no sustituye los análisis técnicos y económicos detallados que deben ser realizados por expertos en la materia.</t>
  </si>
  <si>
    <t>Los autores no se responsabilizan del mal uso de esta herramienta ni de ningún error de cálculo que se pudiese dar respecto de evaluaciones realizadas por otros métodos.</t>
  </si>
  <si>
    <t>Datos climáticos</t>
  </si>
  <si>
    <t>Distribución de la radiación</t>
  </si>
  <si>
    <t>Grados día (GD)</t>
  </si>
  <si>
    <t>GD min.</t>
  </si>
  <si>
    <t>GD máx.</t>
  </si>
  <si>
    <t>Incicio de la temporada de calefacción</t>
  </si>
  <si>
    <t>Fin de la temporada de calefacción</t>
  </si>
  <si>
    <t>Días con calefacción</t>
  </si>
  <si>
    <t>Horas al día de calefacción</t>
  </si>
  <si>
    <t>Distribución de los días de calefacción</t>
  </si>
  <si>
    <t>Ditribución de los GD</t>
  </si>
  <si>
    <t>En.</t>
  </si>
  <si>
    <t>Abr.</t>
  </si>
  <si>
    <t>May.</t>
  </si>
  <si>
    <t>Ag.</t>
  </si>
  <si>
    <t>Datos del combustible</t>
  </si>
  <si>
    <t>Energía primaria</t>
  </si>
  <si>
    <t>Precio de la energía</t>
  </si>
  <si>
    <t>Poder calorífico</t>
  </si>
  <si>
    <t>Gas natural</t>
  </si>
  <si>
    <t>GLP</t>
  </si>
  <si>
    <t>Gasoil</t>
  </si>
  <si>
    <t>Fueloil</t>
  </si>
  <si>
    <t>Leña</t>
  </si>
  <si>
    <t>Astillas de madera</t>
  </si>
  <si>
    <t>Electricidad</t>
  </si>
  <si>
    <t>Electricidad (bomba de calor)</t>
  </si>
  <si>
    <t>Irradiación sobre el plano horizontal</t>
  </si>
  <si>
    <t>Ratio de irradiación con respecto al plano horizontal</t>
  </si>
  <si>
    <t>Altura interior promedio</t>
  </si>
  <si>
    <t>Hasta un año</t>
  </si>
  <si>
    <t>Grosor de las paredes</t>
  </si>
  <si>
    <t>Sup.construida planta baja/sótano</t>
  </si>
  <si>
    <t>Sup. construida cubierta</t>
  </si>
  <si>
    <t>Altura total del edificio</t>
  </si>
  <si>
    <t>Dimensiones del edificio</t>
  </si>
  <si>
    <t>Dimensión máxima del lado corto</t>
  </si>
  <si>
    <t>Superficie de las paredes</t>
  </si>
  <si>
    <t>Superficie promedio de ventanas</t>
  </si>
  <si>
    <t>Superficie de la ventana</t>
  </si>
  <si>
    <t>Factor de forma</t>
  </si>
  <si>
    <t>Ratio mínimo entre lados</t>
  </si>
  <si>
    <t>Ático</t>
  </si>
  <si>
    <t>Modelización geométrica del edificio</t>
  </si>
  <si>
    <t>Definición de la superficie de dispersión</t>
  </si>
  <si>
    <t>Tolerancia</t>
  </si>
  <si>
    <t>Intervención total (1) o parcial (2</t>
  </si>
  <si>
    <t>Antes de intervención</t>
  </si>
  <si>
    <t>Después de intervención</t>
  </si>
  <si>
    <t>Transmitancia (U)</t>
  </si>
  <si>
    <t>paredes</t>
  </si>
  <si>
    <t>suelo</t>
  </si>
  <si>
    <t>cubierta</t>
  </si>
  <si>
    <t>ventanas</t>
  </si>
  <si>
    <t>reformas</t>
  </si>
  <si>
    <t>Valores para la renovación (basándose en grados día)</t>
  </si>
  <si>
    <t>Paredes con aislamiento interno</t>
  </si>
  <si>
    <t>Incidencia de los puentes térmicos</t>
  </si>
  <si>
    <t>Ventilación (renovación aire/h)</t>
  </si>
  <si>
    <t>Ganancias internas de calor</t>
  </si>
  <si>
    <t>Zona cllimática</t>
  </si>
  <si>
    <t>Eficiencia en la recuperación de calor</t>
  </si>
  <si>
    <t>Aumento de la temperatura externa comparado con datos históricos</t>
  </si>
  <si>
    <t>Porcentaje del marco</t>
  </si>
  <si>
    <t>Factor solar</t>
  </si>
  <si>
    <t>Factor de sombra promedio</t>
  </si>
  <si>
    <t>Capacidad calorífica</t>
  </si>
  <si>
    <t>estructura ligera</t>
  </si>
  <si>
    <t>estructura media</t>
  </si>
  <si>
    <t>Eficiencia en emisiones</t>
  </si>
  <si>
    <t>Eficiencia en la regulación</t>
  </si>
  <si>
    <t>Eficiencia en la distribución</t>
  </si>
  <si>
    <t>Eficiencia en la generación</t>
  </si>
  <si>
    <t>Reducción para polideportivos</t>
  </si>
  <si>
    <t>Incidencia de la ACS en el consumo de energía térmica</t>
  </si>
  <si>
    <t>Incidencia iluminación en consumo eléctrico</t>
  </si>
  <si>
    <t>Autoconsumo FV para energía térmica</t>
  </si>
  <si>
    <t>Autoconsumo FV para energía eléctrica</t>
  </si>
  <si>
    <t>Ahorros por sustitución de luminarias</t>
  </si>
  <si>
    <t>Ahorros por instalación de sensores</t>
  </si>
  <si>
    <t>Producción con FV</t>
  </si>
  <si>
    <t>Producción de electricidad con fotovoltaica en la temporada de calefacción</t>
  </si>
  <si>
    <t>Incremento promedio de la temperatura externa en 20 años</t>
  </si>
  <si>
    <t>Pagos por año</t>
  </si>
  <si>
    <t>Num pagos del préstamo</t>
  </si>
  <si>
    <t>Fecha de inicio del préstamo</t>
  </si>
  <si>
    <t>Pagos del préstamo por año</t>
  </si>
  <si>
    <t>Pagos previstos</t>
  </si>
  <si>
    <t>Tabla de amortización</t>
  </si>
  <si>
    <t>Fecha de hoy</t>
  </si>
  <si>
    <t>CÁLCULO DE INTERESES DEDUCIBLES</t>
  </si>
  <si>
    <t>Datos del plan económico financiero</t>
  </si>
  <si>
    <t>Reglas de cálculo locales o nacionales</t>
  </si>
  <si>
    <t>CÁLCULO DE IMPUESTOS</t>
  </si>
  <si>
    <t>Intereses</t>
  </si>
  <si>
    <t>Internal consumption PV for heating (heat pumps)</t>
  </si>
  <si>
    <t>Κατανάλωση από Φ/Β για θέρμανση (αντλίες θερμότητας)</t>
  </si>
  <si>
    <t>Autoconsumo FV termico (in abbinamento a pompe di calore)</t>
  </si>
  <si>
    <t>External insulation of walls (ETICS)</t>
  </si>
  <si>
    <t>Internal insulation of walls</t>
  </si>
  <si>
    <t>Roof insulation</t>
  </si>
  <si>
    <t>Attic insulation</t>
  </si>
  <si>
    <t>Basement floor insulation</t>
  </si>
  <si>
    <t>(optional)</t>
  </si>
  <si>
    <t>(opcional)</t>
  </si>
  <si>
    <t>(προαιρετικό)</t>
  </si>
  <si>
    <t>(opzionale)</t>
  </si>
  <si>
    <t>(opciono)</t>
  </si>
  <si>
    <t>ENERGY PRICES</t>
  </si>
  <si>
    <t>PRECIO DE LA ENERGÍA</t>
  </si>
  <si>
    <t>ΤΙΜΕΣ ΕΝΕΡΓΕΙΑΣ</t>
  </si>
  <si>
    <t>PREZZI DELL'ENERGIA</t>
  </si>
  <si>
    <t>CIJENE ENERGIJE</t>
  </si>
  <si>
    <r>
      <t>Q</t>
    </r>
    <r>
      <rPr>
        <vertAlign val="subscript"/>
        <sz val="10"/>
        <color theme="1"/>
        <rFont val="Calibri"/>
        <family val="2"/>
        <scheme val="minor"/>
      </rPr>
      <t>FV</t>
    </r>
  </si>
  <si>
    <t>©2018</t>
  </si>
  <si>
    <r>
      <t>Fran</t>
    </r>
    <r>
      <rPr>
        <b/>
        <sz val="9"/>
        <rFont val="Calibri"/>
        <family val="2"/>
      </rPr>
      <t>ç</t>
    </r>
    <r>
      <rPr>
        <b/>
        <sz val="9"/>
        <rFont val="Calibri"/>
        <family val="2"/>
        <scheme val="minor"/>
      </rPr>
      <t>ais</t>
    </r>
  </si>
  <si>
    <t xml:space="preserve">Donnée sur le chauffage conventionnel </t>
  </si>
  <si>
    <t>Distribution radiative</t>
  </si>
  <si>
    <t>Début de saison de chauffe</t>
  </si>
  <si>
    <t>Fin de saison de chauffe</t>
  </si>
  <si>
    <t>Jours de chauffage</t>
  </si>
  <si>
    <t>Heure de chauffage journalier</t>
  </si>
  <si>
    <t>Distribution de jour de chauffe</t>
  </si>
  <si>
    <t>Fev.</t>
  </si>
  <si>
    <t>Avr.</t>
  </si>
  <si>
    <t>Mai</t>
  </si>
  <si>
    <t>Aout.</t>
  </si>
  <si>
    <t>Donnée sur le carburant</t>
  </si>
  <si>
    <t>Energie primaire</t>
  </si>
  <si>
    <t>Coût de l'énergie</t>
  </si>
  <si>
    <t>Puissance calorique</t>
  </si>
  <si>
    <t>Gaz naturel</t>
  </si>
  <si>
    <t>Carburant Diesel</t>
  </si>
  <si>
    <t>Mazout</t>
  </si>
  <si>
    <t>Bois</t>
  </si>
  <si>
    <t>Copeau de bois</t>
  </si>
  <si>
    <t>Electricité</t>
  </si>
  <si>
    <t>Electricité (PAC)</t>
  </si>
  <si>
    <t>Irradiation (plan horizontal)</t>
  </si>
  <si>
    <t>Taux d'irradiation  selon le plan horizontal</t>
  </si>
  <si>
    <t>Hauteur de plafond moyen</t>
  </si>
  <si>
    <t>hauteur moyenne brute de plafond intermédiaire</t>
  </si>
  <si>
    <t>jusqu'à la fin de l'année</t>
  </si>
  <si>
    <t>épaisseur des murs</t>
  </si>
  <si>
    <t>Surface brute moyenne du sous sol</t>
  </si>
  <si>
    <t>Surface brute toiture</t>
  </si>
  <si>
    <t>Hauteur brute de bâtiment</t>
  </si>
  <si>
    <t>Dimension du bâtiment</t>
  </si>
  <si>
    <t>Largeur max</t>
  </si>
  <si>
    <t>Surface des murs</t>
  </si>
  <si>
    <t xml:space="preserve">Surface moyenne des ouvrants </t>
  </si>
  <si>
    <t xml:space="preserve">surface des fenêtres </t>
  </si>
  <si>
    <t xml:space="preserve">Facteur de forme </t>
  </si>
  <si>
    <t>Rapport minimal entre deux cotés</t>
  </si>
  <si>
    <t>Grenier</t>
  </si>
  <si>
    <t>Géométrie du bâtiment</t>
  </si>
  <si>
    <t xml:space="preserve">Définition des surfaces déperditives </t>
  </si>
  <si>
    <t>Tolérance</t>
  </si>
  <si>
    <t>Intervention totale (1) ou partielle (2)</t>
  </si>
  <si>
    <t>Avant intervention</t>
  </si>
  <si>
    <t>Après intervention</t>
  </si>
  <si>
    <t>Valeur Ubat</t>
  </si>
  <si>
    <t>Type de mur</t>
  </si>
  <si>
    <t xml:space="preserve">plancher </t>
  </si>
  <si>
    <t>toiture</t>
  </si>
  <si>
    <t>fenêtre</t>
  </si>
  <si>
    <t>renovation</t>
  </si>
  <si>
    <t>Valeur pour la rénovation(selon de nombre de degré jour)</t>
  </si>
  <si>
    <t>Murs avec isolation intérieure</t>
  </si>
  <si>
    <t>Incidence des ponts thermiques</t>
  </si>
  <si>
    <t>Ventilation (renouvellement d'air/hr)</t>
  </si>
  <si>
    <t>Gain thermique interne</t>
  </si>
  <si>
    <t>Zone climatique</t>
  </si>
  <si>
    <t xml:space="preserve">Récupération de chaleur </t>
  </si>
  <si>
    <t>Majoration de la température extérieure</t>
  </si>
  <si>
    <t>Surface des menuiseries des fenêtres</t>
  </si>
  <si>
    <t>Facteur solaire</t>
  </si>
  <si>
    <t xml:space="preserve">Facteur d'ombrage </t>
  </si>
  <si>
    <t>Capacité thermique</t>
  </si>
  <si>
    <t>éclairage</t>
  </si>
  <si>
    <t>Structure moyenne</t>
  </si>
  <si>
    <t>Rendement lumineux</t>
  </si>
  <si>
    <t>Rendement de la régulation</t>
  </si>
  <si>
    <t>Rendement de la distribution</t>
  </si>
  <si>
    <t>Rendement de la production</t>
  </si>
  <si>
    <t>Reduction pour les gymnases</t>
  </si>
  <si>
    <t>Impact du DJU sur la consommation en énergie électrique</t>
  </si>
  <si>
    <t>Autoconsommation panneau solaire thermique</t>
  </si>
  <si>
    <t>Autoconsommation panneau photovoltaïque</t>
  </si>
  <si>
    <t xml:space="preserve">Gain en énergie avec ampoule basse consommation </t>
  </si>
  <si>
    <t xml:space="preserve">Suivi de la consommation </t>
  </si>
  <si>
    <t>Production électrique PV</t>
  </si>
  <si>
    <t>Production électrique PV durant la période de chauffe</t>
  </si>
  <si>
    <t xml:space="preserve">Température moyenne extérieure sur 20 ans  </t>
  </si>
  <si>
    <t xml:space="preserve">Paiement annuel </t>
  </si>
  <si>
    <t>Loyer</t>
  </si>
  <si>
    <t>Loyer initial</t>
  </si>
  <si>
    <t xml:space="preserve">Taux d'emprunt annuel  </t>
  </si>
  <si>
    <t>Paiement attendu</t>
  </si>
  <si>
    <t xml:space="preserve">Tableau d'amortissement </t>
  </si>
  <si>
    <t>jour</t>
  </si>
  <si>
    <t>Données financière</t>
  </si>
  <si>
    <t>Règle locale ou nationale de calcul</t>
  </si>
  <si>
    <t>Interêts</t>
  </si>
  <si>
    <t>TAXES</t>
  </si>
  <si>
    <t>CALCUL DES INTÉRÊTS DÉDUITS</t>
  </si>
  <si>
    <t>Initial financial expenditure - €</t>
  </si>
  <si>
    <t>Solo combustibile 1</t>
  </si>
  <si>
    <t>Solo combustibile 2</t>
  </si>
  <si>
    <t>Entrambi i combustibili</t>
  </si>
  <si>
    <t>Gradi Giorno della baseline</t>
  </si>
  <si>
    <t>Fattore correttivo dei risparmi</t>
  </si>
  <si>
    <r>
      <t>A</t>
    </r>
    <r>
      <rPr>
        <vertAlign val="subscript"/>
        <sz val="9"/>
        <color theme="1"/>
        <rFont val="Calibri"/>
        <family val="2"/>
        <scheme val="minor"/>
      </rPr>
      <t>F,tot</t>
    </r>
  </si>
  <si>
    <r>
      <t>A</t>
    </r>
    <r>
      <rPr>
        <vertAlign val="subscript"/>
        <sz val="9"/>
        <color theme="1"/>
        <rFont val="Calibri"/>
        <family val="2"/>
        <scheme val="minor"/>
      </rPr>
      <t>F,est</t>
    </r>
  </si>
  <si>
    <r>
      <t>A</t>
    </r>
    <r>
      <rPr>
        <vertAlign val="subscript"/>
        <sz val="9"/>
        <color theme="1"/>
        <rFont val="Calibri"/>
        <family val="2"/>
        <scheme val="minor"/>
      </rPr>
      <t>F,int</t>
    </r>
  </si>
  <si>
    <r>
      <t>A</t>
    </r>
    <r>
      <rPr>
        <vertAlign val="subscript"/>
        <sz val="9"/>
        <color theme="1"/>
        <rFont val="Calibri"/>
        <family val="2"/>
        <scheme val="minor"/>
      </rPr>
      <t>F,ext</t>
    </r>
  </si>
  <si>
    <r>
      <t>A</t>
    </r>
    <r>
      <rPr>
        <vertAlign val="subscript"/>
        <sz val="9"/>
        <color theme="1"/>
        <rFont val="Calibri"/>
        <family val="2"/>
        <scheme val="minor"/>
      </rPr>
      <t>R,ext</t>
    </r>
  </si>
  <si>
    <r>
      <t>A</t>
    </r>
    <r>
      <rPr>
        <vertAlign val="subscript"/>
        <sz val="9"/>
        <color theme="1"/>
        <rFont val="Calibri"/>
        <family val="2"/>
        <scheme val="minor"/>
      </rPr>
      <t>R,int</t>
    </r>
  </si>
  <si>
    <r>
      <t>A</t>
    </r>
    <r>
      <rPr>
        <vertAlign val="subscript"/>
        <sz val="9"/>
        <color theme="1"/>
        <rFont val="Calibri"/>
        <family val="2"/>
        <scheme val="minor"/>
      </rPr>
      <t>R,tot</t>
    </r>
  </si>
  <si>
    <r>
      <t>A</t>
    </r>
    <r>
      <rPr>
        <vertAlign val="subscript"/>
        <sz val="9"/>
        <color theme="1"/>
        <rFont val="Calibri"/>
        <family val="2"/>
        <scheme val="minor"/>
      </rPr>
      <t>R,est</t>
    </r>
  </si>
  <si>
    <r>
      <t>A / V</t>
    </r>
    <r>
      <rPr>
        <vertAlign val="subscript"/>
        <sz val="9"/>
        <color theme="0" tint="-0.34998626667073579"/>
        <rFont val="Calibri"/>
        <family val="2"/>
        <scheme val="minor"/>
      </rPr>
      <t>L</t>
    </r>
  </si>
  <si>
    <t>Podatki o konvencionalnem sistemu ogrevanja</t>
  </si>
  <si>
    <t>Porazdelitev sevanja</t>
  </si>
  <si>
    <t>Začetek sezone ogrevanja</t>
  </si>
  <si>
    <t>Konec sezone ogrevanja</t>
  </si>
  <si>
    <t>Dnevi ogrevanja</t>
  </si>
  <si>
    <t>Ure ogrevanja na dan</t>
  </si>
  <si>
    <t>Porazdelitev dni ogrevanja</t>
  </si>
  <si>
    <t>Strošek energije</t>
  </si>
  <si>
    <t>Kalorična moč</t>
  </si>
  <si>
    <t>ME</t>
  </si>
  <si>
    <t>Vir energije</t>
  </si>
  <si>
    <t>Zemeljski plin</t>
  </si>
  <si>
    <t>UNP</t>
  </si>
  <si>
    <t>Dizelsko gorivo</t>
  </si>
  <si>
    <t>Kurilno olje</t>
  </si>
  <si>
    <t>Peleti</t>
  </si>
  <si>
    <t>Polena</t>
  </si>
  <si>
    <t>Lesni sekanci</t>
  </si>
  <si>
    <t>Električna energija (toplotna črpalka)</t>
  </si>
  <si>
    <t>V</t>
  </si>
  <si>
    <t>Povprečna notranja višina</t>
  </si>
  <si>
    <t>Povprečna bruto višina mednadstropja</t>
  </si>
  <si>
    <t>Do enega leta</t>
  </si>
  <si>
    <t>Debelina sten</t>
  </si>
  <si>
    <t>Bruto površina kletne etaže</t>
  </si>
  <si>
    <t>Bruto površina strehe</t>
  </si>
  <si>
    <t>Bruto višina stavbe</t>
  </si>
  <si>
    <t>Dimenzije stavbe</t>
  </si>
  <si>
    <t>Največja dimenzija krajše strani</t>
  </si>
  <si>
    <t>Površina zidov</t>
  </si>
  <si>
    <t>Povprečna površina oken</t>
  </si>
  <si>
    <t>Površina oken</t>
  </si>
  <si>
    <t>Faktor oblike</t>
  </si>
  <si>
    <t>Minimalno razmerje med stranema</t>
  </si>
  <si>
    <t>Podstrešje</t>
  </si>
  <si>
    <t>Geometrijski model stavbe</t>
  </si>
  <si>
    <t>Toleranca</t>
  </si>
  <si>
    <t>Popolni (1) ali delni (2) poseg</t>
  </si>
  <si>
    <t>Pred posegom</t>
  </si>
  <si>
    <t>Po posegu</t>
  </si>
  <si>
    <t>stene</t>
  </si>
  <si>
    <t>kletna etaža</t>
  </si>
  <si>
    <t>streha</t>
  </si>
  <si>
    <t>okna</t>
  </si>
  <si>
    <t>sanacija</t>
  </si>
  <si>
    <t>Stene z notranjo izolacijo</t>
  </si>
  <si>
    <t>Prezračevanje (izmenjava zraka/h)</t>
  </si>
  <si>
    <t>Notranja temperatura</t>
  </si>
  <si>
    <t>Notranji toplotni dobitki</t>
  </si>
  <si>
    <t>Podnebje</t>
  </si>
  <si>
    <t>Povprečni faktor fiksnih senčil</t>
  </si>
  <si>
    <t>Toplotna kapaciteta</t>
  </si>
  <si>
    <t>lahka struktura</t>
  </si>
  <si>
    <t>Učinkovitost proizvodnje</t>
  </si>
  <si>
    <t>Zmanjšanje za telovadnice</t>
  </si>
  <si>
    <t>Prihranki iz zamenjave svetil</t>
  </si>
  <si>
    <t>Prihranki iz vgradnje senzorjev</t>
  </si>
  <si>
    <t>Zvišanje povprečne zunanje temperature v 20 letih</t>
  </si>
  <si>
    <t>Letni obroki</t>
  </si>
  <si>
    <t>Št. obrokov posojila</t>
  </si>
  <si>
    <t>Začetek posojila</t>
  </si>
  <si>
    <t>Letni obroki posojila</t>
  </si>
  <si>
    <t>Predvideni obrok</t>
  </si>
  <si>
    <t>Današnji datum</t>
  </si>
  <si>
    <t>IZRAČUN ODBITNIH OBRESTI</t>
  </si>
  <si>
    <t>Podatki iz finančne ocene</t>
  </si>
  <si>
    <t>Nacionalna ali lokalna pravila računanja</t>
  </si>
  <si>
    <t>IZRAČUN DAVKOV</t>
  </si>
  <si>
    <t>Obresti</t>
  </si>
  <si>
    <t>Slovenščina</t>
  </si>
  <si>
    <r>
      <t>kWh/m</t>
    </r>
    <r>
      <rPr>
        <sz val="9"/>
        <color theme="1"/>
        <rFont val="Calibri"/>
        <family val="2"/>
      </rPr>
      <t>²l</t>
    </r>
  </si>
  <si>
    <t>W/svetilo</t>
  </si>
  <si>
    <t>leta</t>
  </si>
  <si>
    <t>Sm³</t>
  </si>
  <si>
    <t>leto</t>
  </si>
  <si>
    <t>Projekt sofinanciral Evropski sklad za regionalni razvoj</t>
  </si>
  <si>
    <t>SPLOŠNE INFORMACIJE O STAVBI</t>
  </si>
  <si>
    <t>SPLOŠNE INFORMACIJE</t>
  </si>
  <si>
    <t>Stavba</t>
  </si>
  <si>
    <t>Naslov</t>
  </si>
  <si>
    <t>Lastnik</t>
  </si>
  <si>
    <t>Ustanova / Podjetje</t>
  </si>
  <si>
    <t>Telefonska številka / E-pošta</t>
  </si>
  <si>
    <t>Avtor</t>
  </si>
  <si>
    <t>Vrsta stavbe</t>
  </si>
  <si>
    <t>Šola</t>
  </si>
  <si>
    <t>Telovadnica</t>
  </si>
  <si>
    <t>Pisarne</t>
  </si>
  <si>
    <t>Zdravstvena ustanova</t>
  </si>
  <si>
    <t>Povezana na eni strani</t>
  </si>
  <si>
    <t>Povezana na obeh straneh</t>
  </si>
  <si>
    <t>Zemljepisna širina</t>
  </si>
  <si>
    <t xml:space="preserve">Ogrevani volumen </t>
  </si>
  <si>
    <t xml:space="preserve">Št. ogrevanih nadstropij </t>
  </si>
  <si>
    <t>Povprečna debelina zunanjih sten</t>
  </si>
  <si>
    <t>Bruto tlorisna površina</t>
  </si>
  <si>
    <t>Izbirni podatek, če neto notranja površina ni na voljo</t>
  </si>
  <si>
    <t>Merska enota</t>
  </si>
  <si>
    <t>letni strošek</t>
  </si>
  <si>
    <t>Strošek toplotne energije</t>
  </si>
  <si>
    <t>Strošek električne energije</t>
  </si>
  <si>
    <t>PREDVIDENI POSEGI IN OCENA NALOŽB</t>
  </si>
  <si>
    <t>Izolacija podstrešja</t>
  </si>
  <si>
    <t>Izolacija kletne etaže</t>
  </si>
  <si>
    <t>Zamenjava oken</t>
  </si>
  <si>
    <t>Zamenjava ogrevalnega kotla</t>
  </si>
  <si>
    <t>Zamenjava s kotlom na pelete</t>
  </si>
  <si>
    <t xml:space="preserve">
Zamenjava s kotlom na polena</t>
  </si>
  <si>
    <t xml:space="preserve">
Zamenjava s kotlom na lesne sekance</t>
  </si>
  <si>
    <t>Toplotna črpalka</t>
  </si>
  <si>
    <t>Namestitev termostatskih ventilov</t>
  </si>
  <si>
    <t>Zamenjava svetil</t>
  </si>
  <si>
    <t>Izboljšanje energetske učinkovitosti sistema razsvetljave</t>
  </si>
  <si>
    <t xml:space="preserve">
Posegi na celotnem ovoju stavbe</t>
  </si>
  <si>
    <t xml:space="preserve">
Posegi na delu sten</t>
  </si>
  <si>
    <t xml:space="preserve">
Posegi na vseh oknih</t>
  </si>
  <si>
    <t xml:space="preserve">
Posegi na delu oken</t>
  </si>
  <si>
    <t>Posegi na celotni strehi</t>
  </si>
  <si>
    <t>Posegi na delu strehe</t>
  </si>
  <si>
    <t>Posegi na celotnih tleh</t>
  </si>
  <si>
    <t>Posegi na delu tal</t>
  </si>
  <si>
    <t xml:space="preserve">
kritje porabe električne energije</t>
  </si>
  <si>
    <t>ocenjeni stroški</t>
  </si>
  <si>
    <t>Stroški načrtovanja in gradnje</t>
  </si>
  <si>
    <t>DDV</t>
  </si>
  <si>
    <t>Skupaj</t>
  </si>
  <si>
    <t>IZRAČUN PRIHRANKOV - IZBERI MOŽNOST</t>
  </si>
  <si>
    <t>Možnost A</t>
  </si>
  <si>
    <t>Možnost B</t>
  </si>
  <si>
    <t>poenostavljena ocena prihrankov glede na posamezne ukrepe za varčevanje z energijo</t>
  </si>
  <si>
    <t>ustrezen način za predhodno oceno splošnega potenciala, če ni podrobnega energetskega pregleda</t>
  </si>
  <si>
    <t>uporabniku prilagojen in uravnotežen izračun prihrankov</t>
  </si>
  <si>
    <t>MOŽNOST A</t>
  </si>
  <si>
    <t>MOŽNOST B</t>
  </si>
  <si>
    <t>ocenjeni prihranki</t>
  </si>
  <si>
    <t>kol.</t>
  </si>
  <si>
    <t>skupaj moč</t>
  </si>
  <si>
    <t>moč</t>
  </si>
  <si>
    <t>vgrajena moč</t>
  </si>
  <si>
    <t>Ocenjeni prihranki pri porabi toplotne energije</t>
  </si>
  <si>
    <t>Ocenjeni prihranki pri porabi električne energije</t>
  </si>
  <si>
    <t>Sezonsko povprečje učinkovitosti ogrevalnega sistema</t>
  </si>
  <si>
    <t>Energetska učinkovitost prezračevanja</t>
  </si>
  <si>
    <t>Energetska učinkovitost razsvetljave</t>
  </si>
  <si>
    <t>Energetska učinkovitost dvigal itd.</t>
  </si>
  <si>
    <t>predhodni izračun</t>
  </si>
  <si>
    <t>vstavil uporabnik</t>
  </si>
  <si>
    <t>Viri energije za ogrevanje</t>
  </si>
  <si>
    <t>prej</t>
  </si>
  <si>
    <t>potem</t>
  </si>
  <si>
    <t>PARAMETERI ZA FINANČNI IZRAČUN</t>
  </si>
  <si>
    <t>Naložba</t>
  </si>
  <si>
    <t>Skupaj prihranki</t>
  </si>
  <si>
    <t>Stopnja splošne inflacije</t>
  </si>
  <si>
    <t>Stopnja inflacije cen električne energije</t>
  </si>
  <si>
    <t>Neto sedanja vrednost (NPV) diskontne stopnje</t>
  </si>
  <si>
    <t>Notranja stopnja donosa (IRR)</t>
  </si>
  <si>
    <t>Letna obrestna mera</t>
  </si>
  <si>
    <t>% celotne naložbe</t>
  </si>
  <si>
    <t>Začetna naložba</t>
  </si>
  <si>
    <t>Indeksirani letni prihranki</t>
  </si>
  <si>
    <t>Letni neto denarni tokovi brez subvencije</t>
  </si>
  <si>
    <t>Progresivni denarni tokovi brez subvencije</t>
  </si>
  <si>
    <t>Letni neto denarni tokovi s subvencijo</t>
  </si>
  <si>
    <t>Progresivni denarni tokovi s subvencijo</t>
  </si>
  <si>
    <t>Lastni kapital</t>
  </si>
  <si>
    <t>Znesek posojila</t>
  </si>
  <si>
    <t>Obdobje posojila</t>
  </si>
  <si>
    <t>ekvivalent</t>
  </si>
  <si>
    <t>Trajanje finančnega načrta</t>
  </si>
  <si>
    <t xml:space="preserve">FINANČNI PODATKI PODJETJA </t>
  </si>
  <si>
    <t>TRAJANJE FINANČNEGA NAČRTA NE SME BITI DALJŠE OD 20 LET</t>
  </si>
  <si>
    <t>PREVISOK ZNESEK POSOJILA</t>
  </si>
  <si>
    <t>OBDOBJE POSOJILA NE SME BITI DALJŠE OD TRAJANJA FINANČNEGA NAČRTA</t>
  </si>
  <si>
    <t>FINANČNI NAČRT</t>
  </si>
  <si>
    <t>Prihodki</t>
  </si>
  <si>
    <t>Odhodki</t>
  </si>
  <si>
    <t>IZKAZ POSLOVNEGA IZIDA</t>
  </si>
  <si>
    <t>IZKAZ FINANČNEGA IZIDA</t>
  </si>
  <si>
    <t>Prihodki od prodaje - koncesnina</t>
  </si>
  <si>
    <t>Spodbude</t>
  </si>
  <si>
    <t>Stroški prodanega blaga</t>
  </si>
  <si>
    <t>Administrativni in pisarniški stroški, stroški vzdrževanja in zavarovanja</t>
  </si>
  <si>
    <t>Normalizacija stroškov po stopnji inflacije</t>
  </si>
  <si>
    <t xml:space="preserve">Inflaciji prilagojeni normalizirani stroški </t>
  </si>
  <si>
    <t>Skupaj poslovni odhodki</t>
  </si>
  <si>
    <t>Dobiček poslovanja</t>
  </si>
  <si>
    <t xml:space="preserve">Dobiček, ki ni povezan s poslovanjem </t>
  </si>
  <si>
    <t>Finančni prihodek</t>
  </si>
  <si>
    <t>Odbitni odhodki za obresti</t>
  </si>
  <si>
    <t>Davek od dobička</t>
  </si>
  <si>
    <t>Čisti dobiček</t>
  </si>
  <si>
    <t>Poslovni denarni tokovi</t>
  </si>
  <si>
    <t>Denarni tokovi iz naložbenja</t>
  </si>
  <si>
    <t>Denarni tokovi iz vlaganja (financiranja)</t>
  </si>
  <si>
    <t>Finančni izid</t>
  </si>
  <si>
    <t>LLCR</t>
  </si>
  <si>
    <t>Dobiček pred obrestmi, davki, depreciacijo in amortizacijo (Earnings Before Interest, Taxes, Depreciation and Amortization)</t>
  </si>
  <si>
    <t>Dobiček pred obrestmi in davki (Earnings Before Interest and Taxes)</t>
  </si>
  <si>
    <t>Dobiček pred odhodki za obresti (Income Before Interest Expense)</t>
  </si>
  <si>
    <t>Dobiček pred davkom od dobička (Earnings Before Income Taxes)</t>
  </si>
  <si>
    <t>Kazalnik servisiranja dolga (DSCR)</t>
  </si>
  <si>
    <t>Kazalnik servisiranja dolga v njegovi življenjski dobi (LLCR)</t>
  </si>
  <si>
    <t>EBITDA  / servisiranje dolga. Servisiranje dolga = plačilo posojila (dolgoročni dolgovi, ki v kratkem zapadejo + obresti). DSCR se računa na letni osnovi.</t>
  </si>
  <si>
    <t>Neto sedanja vrednost denarnih tokov, ki so na voljo za servisiranje dolga / stanje dolga</t>
  </si>
  <si>
    <t>To orodje so razvili projektni partnerji v okviru projekta SISMA</t>
  </si>
  <si>
    <t>Goriška lokalna energetska agencija - GOLEA</t>
  </si>
  <si>
    <t>Konzorcij RIBERA</t>
  </si>
  <si>
    <t>Energetska agencija Firence - AFE</t>
  </si>
  <si>
    <t>Center za obnovljive vire energije in varčevanje z energijo - CRES</t>
  </si>
  <si>
    <t>Agencija za energijo Furlanije Julijske krajine - APE FVG</t>
  </si>
  <si>
    <t>Agencija za ekonomski razvoj - PREDA</t>
  </si>
  <si>
    <t>Komisariat za alternativne vire energije in atomsko energijo - CEA</t>
  </si>
  <si>
    <t>Predlagana metoda izračuna je poenostavljena metoda za predhodno oceno energetskih in finančnih vidikov, povezanih z naložbami v energetsko učinkovitost javnih stavb.</t>
  </si>
  <si>
    <t>To orodje ne nadomešča podrobnih tehničnih in ekonomskih analiz, ki jih morajo opraviti strokovnjaki z zadevnega področja.</t>
  </si>
  <si>
    <t>Avtorji ne prevzemajo nikakršne odgovornosti za neustrezno uporabo tega orodja kot tudi ne za morebitne napake v izračunu, ki se lahko pojavijo pri drugih ocenah, opravljenih na drugačen način.</t>
  </si>
  <si>
    <t>(izbirno)</t>
  </si>
  <si>
    <t>CENE ENERGIJE</t>
  </si>
  <si>
    <t>samo gorivo 1</t>
  </si>
  <si>
    <t>samo gorivo 2</t>
  </si>
  <si>
    <t>και τα δύο καύσιμα</t>
  </si>
  <si>
    <t>μόνο το καύσιμο 1</t>
  </si>
  <si>
    <t>μόνο το καύσιμο 2</t>
  </si>
  <si>
    <t>ambos combustibles</t>
  </si>
  <si>
    <t>sólo combustible 1</t>
  </si>
  <si>
    <t>sólo combustible 2</t>
  </si>
  <si>
    <t>combustibles associés</t>
  </si>
  <si>
    <t>combustible 1</t>
  </si>
  <si>
    <t>combustible 2</t>
  </si>
  <si>
    <t>συντελεστής διόρθωσης κατανάλωσης</t>
  </si>
  <si>
    <t>Consumption correction factor</t>
  </si>
  <si>
    <t>Korekcijski faktor porabe</t>
  </si>
  <si>
    <t>Facteur de correction de la consommation</t>
  </si>
  <si>
    <t>Factor de corrección del consumo</t>
  </si>
  <si>
    <t xml:space="preserve">both fuels </t>
  </si>
  <si>
    <t xml:space="preserve">only fuel 1 </t>
  </si>
  <si>
    <t>only fuel 2</t>
  </si>
  <si>
    <t>Korektivni faktor potrošnje</t>
  </si>
  <si>
    <t>oba goriva</t>
  </si>
  <si>
    <t>Decrease (increase) in PP&amp;E, net, cash, Tax receivables con investment</t>
  </si>
  <si>
    <t>Intervention on all the floor</t>
  </si>
  <si>
    <t>HWS (Hot Water System) energy efficiency</t>
  </si>
  <si>
    <t>Incidence of HWS on thermal energy consumption</t>
  </si>
  <si>
    <t>W/lampe</t>
  </si>
  <si>
    <t>années</t>
  </si>
  <si>
    <t>année</t>
  </si>
  <si>
    <t>Project co-financé par un fond de développement régional européen</t>
  </si>
  <si>
    <t>Information générale du bâtiment</t>
  </si>
  <si>
    <t>INFORMATION GENERALE</t>
  </si>
  <si>
    <t>Bâtiment</t>
  </si>
  <si>
    <t>Addresse</t>
  </si>
  <si>
    <t>Propriétaire</t>
  </si>
  <si>
    <t>Institution/Compagnie</t>
  </si>
  <si>
    <t>Numéro de téléphone/email</t>
  </si>
  <si>
    <t>Auteur</t>
  </si>
  <si>
    <t>Type de bâtiment</t>
  </si>
  <si>
    <t>Ecole</t>
  </si>
  <si>
    <t>Gymnase</t>
  </si>
  <si>
    <t>Bureau</t>
  </si>
  <si>
    <t>Structure de soin et de santé</t>
  </si>
  <si>
    <t>Bâtiment isolé</t>
  </si>
  <si>
    <t>Semi détaché</t>
  </si>
  <si>
    <t xml:space="preserve">Semi détaché sur les deux côtés </t>
  </si>
  <si>
    <t>Localisation</t>
  </si>
  <si>
    <t>Degré jour de chauffe (DJU)</t>
  </si>
  <si>
    <t xml:space="preserve">Année de construction </t>
  </si>
  <si>
    <t>Volume chauffé</t>
  </si>
  <si>
    <t>Surface net interne</t>
  </si>
  <si>
    <t>N. d'étage avec chauffe</t>
  </si>
  <si>
    <t>Epaisseur moyennne des murs extérieurs</t>
  </si>
  <si>
    <t>Surface au sol Brut</t>
  </si>
  <si>
    <t>En option, si la valeur de la  surface net interne n'est pas disponible</t>
  </si>
  <si>
    <t>MESURE DE LA CONSOMMATION EN ENERGIE THERMIQUE</t>
  </si>
  <si>
    <t>MESURE DE LA CONSOMMATION EN ENERGIE ELECTRIQUE</t>
  </si>
  <si>
    <t>Consommation de chaleur</t>
  </si>
  <si>
    <t>Consommation électrique</t>
  </si>
  <si>
    <t>Unité de mesure</t>
  </si>
  <si>
    <t>Dépense annuelle</t>
  </si>
  <si>
    <t>Eau chaude incluse</t>
  </si>
  <si>
    <t>Oui</t>
  </si>
  <si>
    <t>Non</t>
  </si>
  <si>
    <t>Coût de l'énergie thermique</t>
  </si>
  <si>
    <t xml:space="preserve">Coût de l'électricité </t>
  </si>
  <si>
    <t>INTERVENTIONS ET INVESTISSEMENTS ESTIMES</t>
  </si>
  <si>
    <t>Isolation extérieure des murs (ETI)</t>
  </si>
  <si>
    <t>Isolation intérieure des murs</t>
  </si>
  <si>
    <t>Isolation en toiture</t>
  </si>
  <si>
    <t>Isolation du grenier</t>
  </si>
  <si>
    <t>Isolation du plancher du RDC</t>
  </si>
  <si>
    <t xml:space="preserve">Remplacement des fenêtres </t>
  </si>
  <si>
    <t>Remplacement de la chaudière</t>
  </si>
  <si>
    <t>Combustible identique</t>
  </si>
  <si>
    <t xml:space="preserve">Remplacement de la chaudière au gaz méthane </t>
  </si>
  <si>
    <t>Remplacement de la chaudière pellet</t>
  </si>
  <si>
    <t xml:space="preserve">
Remplacement de la chaudière bois</t>
  </si>
  <si>
    <t xml:space="preserve">
Remplacement de la chaudière au copeaux de bois </t>
  </si>
  <si>
    <t>Pompe à chaleur</t>
  </si>
  <si>
    <t>Installation de robinet thermostatique</t>
  </si>
  <si>
    <t xml:space="preserve">Amélioration du rendement des systèmes de chauffage (Regulation, émission, distribution) </t>
  </si>
  <si>
    <t xml:space="preserve">Système de récupération de chaleur VMC ou autre </t>
  </si>
  <si>
    <t>Remplacement des lampes</t>
  </si>
  <si>
    <t>Système d'éclairage basse consommation</t>
  </si>
  <si>
    <t>Détecteurs de présence, détecteurs de luminosité…</t>
  </si>
  <si>
    <t xml:space="preserve">Installation photovoltaique </t>
  </si>
  <si>
    <t>Autre</t>
  </si>
  <si>
    <t>Couverture de la consommation électrique</t>
  </si>
  <si>
    <t xml:space="preserve">Estimation des coûts </t>
  </si>
  <si>
    <t>Architecture du bâtiment et frais divers</t>
  </si>
  <si>
    <t xml:space="preserve">Côut lié à la sécurité </t>
  </si>
  <si>
    <t>T.V.A</t>
  </si>
  <si>
    <t xml:space="preserve">Option de calcul des écononomies </t>
  </si>
  <si>
    <t>Estimation simplifié de l'économie spécifique à la méthode de mesure de la consommation en énergie</t>
  </si>
  <si>
    <t>Méthode préliminaire et simplifiée de l'évaluation du potentiel gain en énergie sur la base d'un diagnostique énergétique (DPE) ou audit énergétique</t>
  </si>
  <si>
    <t>Calibration du modèle de calcul de l'économie d'énergie</t>
  </si>
  <si>
    <t xml:space="preserve">Données sauvegardées obtenues à partir du détail du diagnostique énergétique ou à partir d'un audit ==&gt; Certification </t>
  </si>
  <si>
    <t xml:space="preserve">Gains estimés </t>
  </si>
  <si>
    <t>Surface déperditive affectée</t>
  </si>
  <si>
    <t>qté</t>
  </si>
  <si>
    <t>Partie du bâtiment concerné</t>
  </si>
  <si>
    <t>Puissance totale</t>
  </si>
  <si>
    <t>Puissance</t>
  </si>
  <si>
    <t>Puissance installée</t>
  </si>
  <si>
    <t>Consommation de chaleur estimée</t>
  </si>
  <si>
    <t>Gain estimé sur la puissance électrique</t>
  </si>
  <si>
    <t xml:space="preserve">Autre gains sur les consommations thermiques </t>
  </si>
  <si>
    <t xml:space="preserve">Autres gains sur les consommations électriques </t>
  </si>
  <si>
    <t>Besoin de chauffage</t>
  </si>
  <si>
    <t>Rendement moyen de système de chauffage saisonnier</t>
  </si>
  <si>
    <t>Performance de chauffage</t>
  </si>
  <si>
    <t>Performance de raffaichissement</t>
  </si>
  <si>
    <t xml:space="preserve">Rendement de production d'eau chaude sanitaire (ECS) </t>
  </si>
  <si>
    <t>Perfromance de la distribution de chaleur</t>
  </si>
  <si>
    <t>Performance de l'éclairement</t>
  </si>
  <si>
    <t xml:space="preserve">Performance énergétique des autres systèmes (ascenseurs </t>
  </si>
  <si>
    <t>Ligne de base de la consommation de chaleur</t>
  </si>
  <si>
    <t>pre-calculé</t>
  </si>
  <si>
    <t>A remplir par l'utilisateur</t>
  </si>
  <si>
    <t>Source de chaleur</t>
  </si>
  <si>
    <t xml:space="preserve">Baseline </t>
  </si>
  <si>
    <t xml:space="preserve">Ligne de base de la consommation électrique </t>
  </si>
  <si>
    <t>Avant</t>
  </si>
  <si>
    <t>Après</t>
  </si>
  <si>
    <t>PARAMETRE DU CALCUL FINANCIER</t>
  </si>
  <si>
    <t>Méthode de calcul du gain en énergie économisé</t>
  </si>
  <si>
    <t>Investissement</t>
  </si>
  <si>
    <t>Gain total</t>
  </si>
  <si>
    <t>Taux d'inflation général</t>
  </si>
  <si>
    <t>Taux d'inflation du prix de l'électricité</t>
  </si>
  <si>
    <t>Taux d'inflation de la source d'énergie</t>
  </si>
  <si>
    <t>NPV taux d'interêt</t>
  </si>
  <si>
    <t xml:space="preserve">NPV </t>
  </si>
  <si>
    <t xml:space="preserve">Retour sur investissement </t>
  </si>
  <si>
    <t>Taux d'intérêt annuel</t>
  </si>
  <si>
    <t>% du total investit</t>
  </si>
  <si>
    <t>Investissement initial</t>
  </si>
  <si>
    <t>Gain annuel indexé</t>
  </si>
  <si>
    <t>Subvention</t>
  </si>
  <si>
    <t>Trésorerie annuelle nette sans subvention</t>
  </si>
  <si>
    <t>Trésorerie progressive sans subvention</t>
  </si>
  <si>
    <t xml:space="preserve">Trésorerie progressive annuelle  subventionnée </t>
  </si>
  <si>
    <t>Trésorerie progressive subventionnée</t>
  </si>
  <si>
    <t>Capital propre</t>
  </si>
  <si>
    <t>Montant du prêt</t>
  </si>
  <si>
    <t>Période de prêt</t>
  </si>
  <si>
    <t>equivalent à</t>
  </si>
  <si>
    <t>DONNEE FINANCIERE DE LA COMPAGNIE</t>
  </si>
  <si>
    <t>DUREE DU PLAN DE FINANCEMENT N'EXCEDANT PAS 20 ANS</t>
  </si>
  <si>
    <t>MONTANT DU PRÊT TROP HAUT</t>
  </si>
  <si>
    <t>DUREE DU PRÊT NE POUVANT EXCEDER LA DUREE DU PLAN DE FINACEMENT</t>
  </si>
  <si>
    <t>PLAN DE FINANCEMENT</t>
  </si>
  <si>
    <t>Dépenses</t>
  </si>
  <si>
    <t>COMPTE DE RESULTAT</t>
  </si>
  <si>
    <t>BILAN DE TRESORERIE</t>
  </si>
  <si>
    <t>Revenue de vente - concession</t>
  </si>
  <si>
    <t>Incitation fiscale</t>
  </si>
  <si>
    <t>Coûts des marchandises vendus</t>
  </si>
  <si>
    <t>Dépenses administratives et de bureau, coûts de maintenance et d'assurance</t>
  </si>
  <si>
    <t>Taux d'inflation normalisé des dépenses</t>
  </si>
  <si>
    <t>Amortissement</t>
  </si>
  <si>
    <t>Coûts normalisés avec un taux d'inflation ajusté</t>
  </si>
  <si>
    <t>Dépense totale d'opération</t>
  </si>
  <si>
    <t>Revenue d'opération</t>
  </si>
  <si>
    <t>Autre revenue</t>
  </si>
  <si>
    <t>Revenue financier</t>
  </si>
  <si>
    <t>Intérêt des dépenses déductibles</t>
  </si>
  <si>
    <t>Revenue des taxes</t>
  </si>
  <si>
    <t>Revenue net</t>
  </si>
  <si>
    <t>Flux de trésorerie</t>
  </si>
  <si>
    <t>Flux de trésorerie d'investissement</t>
  </si>
  <si>
    <t>Flux de trésorerie net</t>
  </si>
  <si>
    <t>RATIO DE COUVERTURE DU SERVICE DE LA DETTE</t>
  </si>
  <si>
    <t xml:space="preserve">RATION DU TAUX D'EMPRUNT </t>
  </si>
  <si>
    <t>TABLE DES MATIERES</t>
  </si>
  <si>
    <t>Recettes avanct intérêt, taxes, dépréciation et amortissement</t>
  </si>
  <si>
    <t>Recettes avant intérêts et taxes</t>
  </si>
  <si>
    <t>Recettes avant déduction des intérêts des dépenses</t>
  </si>
  <si>
    <t>Revenu net avant impôts</t>
  </si>
  <si>
    <t>Ration de couverture au service de la dette</t>
  </si>
  <si>
    <t>EBITDA  / Service de la dette. Service de la dette = Paiement du prêt (Portion de la dette long terme [CPLTD] + interêt). DSCR est calculé sur des bases annuelles</t>
  </si>
  <si>
    <t>Valeur du flux de trésorerie net disponible pour le règlement de la dette / Dette active</t>
  </si>
  <si>
    <t xml:space="preserve">Cet outil a été développé en partenariat pour le projet SISMA </t>
  </si>
  <si>
    <t xml:space="preserve">La méthode de calcul proposé a été simplifiée, elle prend en compte une étude énergétique préliminaire des bâtiments et des aspects financiers liés à l'i,nvestissement de la rénovation énergétique des bâtiments publiques </t>
  </si>
  <si>
    <t xml:space="preserve">Cet outil ne se substitue pas à une analyse technique et financière détaillée, qui doit être menée par des professionnels </t>
  </si>
  <si>
    <t>L'auteur ne prend pas la responsabilité d'un usage inadapté de cet outil, ni des erreurs de calcul qui peuvent intervenir</t>
  </si>
  <si>
    <t>Intervention sur tout le plancher</t>
  </si>
  <si>
    <t>Intervention sur une partie de la toiture</t>
  </si>
  <si>
    <t>Intervention sur les fenêtres du bâtiment</t>
  </si>
  <si>
    <t>Intervention sur une partie du mur</t>
  </si>
  <si>
    <t>Intervention sur certaines fenêtre du bâtiment</t>
  </si>
  <si>
    <t>Intervention sur l'enveloppe du bâtiment</t>
  </si>
  <si>
    <t>Intervention sur une partie du plancher</t>
  </si>
  <si>
    <t>Couverture de la consommation thermique</t>
  </si>
  <si>
    <t>Intervention en toiture</t>
  </si>
  <si>
    <t>PRIX DE L'ÉNERGIE</t>
  </si>
  <si>
    <t>Durée du plan de financement</t>
  </si>
  <si>
    <t>Intervention on alla the floor</t>
  </si>
  <si>
    <t>(en option)</t>
  </si>
  <si>
    <t>Altura bruta promedio entre plantas</t>
  </si>
  <si>
    <t>DATOS FINANCIEROS DE LA EMPRESA</t>
  </si>
  <si>
    <t>kWh/leto</t>
  </si>
  <si>
    <t>€/leto</t>
  </si>
  <si>
    <t>Samostoječa stavba</t>
  </si>
  <si>
    <t>Temperaturni primankljaj (TP)</t>
  </si>
  <si>
    <t>Leto igradnje</t>
  </si>
  <si>
    <t>Neto uporabna površina</t>
  </si>
  <si>
    <t>UKREPI ZA ZMANJŠANJE RABE - TOPLOTNA ENERGIJA</t>
  </si>
  <si>
    <t>UKREPI ZA ZMANJŠANJERABE - ELEKTRIČNA ENERGIJA</t>
  </si>
  <si>
    <t>raba toplote</t>
  </si>
  <si>
    <t>raba elektrike</t>
  </si>
  <si>
    <t>Energent</t>
  </si>
  <si>
    <t>Vključno s sanitarno toplo vodo</t>
  </si>
  <si>
    <t>oba energenta</t>
  </si>
  <si>
    <t>samo energent 1</t>
  </si>
  <si>
    <t>samo energent 2</t>
  </si>
  <si>
    <t>Izolacija fasade (ETICS)</t>
  </si>
  <si>
    <t>Notranja izolacija zunanjih sten</t>
  </si>
  <si>
    <t>Izolacija strehe</t>
  </si>
  <si>
    <t>Isti energent</t>
  </si>
  <si>
    <t>Zamenjava s kotlom na zemeljski plin</t>
  </si>
  <si>
    <t>Izboljšanje energetske učinkovitosti ogrevalnega sistema (regulacija, izolacija ravzovdov, distribucija)</t>
  </si>
  <si>
    <t>Sistem za rekuperacijo toplotne energije na obstoječih prezračevalnih sistemih</t>
  </si>
  <si>
    <t>senzorji gibanja, senzorji osvetljenosti itd.</t>
  </si>
  <si>
    <t>Fotovoltaična elektrarna</t>
  </si>
  <si>
    <t>za pokrivanje potreb po ogrevanju</t>
  </si>
  <si>
    <t>Stroški varovanja gradbišča</t>
  </si>
  <si>
    <t>podatki o prihrankih pridobljeni z razširjenim energetskim pregledom ali Investor Confidence Project (ICP) ali ekvivalentnim protoklom  -&gt; proces varčevanja, ki vodi v certifikat IREE ali podobno</t>
  </si>
  <si>
    <t>površina vgradnje</t>
  </si>
  <si>
    <t>del stavbe, kjer se izvaja ukrep</t>
  </si>
  <si>
    <t>Ocenjeni prihranki pri rabi toplotne energije</t>
  </si>
  <si>
    <t>Ocenjeni prihranki pri rabi električne energije</t>
  </si>
  <si>
    <t xml:space="preserve">
dodatni prihranki pri rabi toplotne energije</t>
  </si>
  <si>
    <t xml:space="preserve">
dodatni prihranki pri rabi električne energije</t>
  </si>
  <si>
    <t>Potreba po toploti</t>
  </si>
  <si>
    <t>Enegijska učinkovitost ogrevanja</t>
  </si>
  <si>
    <t>Energijska učinkovitost hlajenja</t>
  </si>
  <si>
    <t>Energijska učinkovitost priprave tople sanitarne vode (TSV)</t>
  </si>
  <si>
    <t>Izhodiščna raba toplote</t>
  </si>
  <si>
    <t>Izhodiščni temperaturni primankljaj</t>
  </si>
  <si>
    <t>Izhodiščna raba elektrike</t>
  </si>
  <si>
    <t>Metoda izračuna prihrankov energije</t>
  </si>
  <si>
    <t>Stopnja inflacije energentov</t>
  </si>
  <si>
    <t>TP</t>
  </si>
  <si>
    <t>Min. TP</t>
  </si>
  <si>
    <t>Maks. TP</t>
  </si>
  <si>
    <t>Porazdelitev TP</t>
  </si>
  <si>
    <t>Podatki o energentu</t>
  </si>
  <si>
    <t>Obsevanje na horizontalno ravnino</t>
  </si>
  <si>
    <t>Razmerje obsevanja glede na horizontalno ravnino</t>
  </si>
  <si>
    <t>Definicija površin za vgradnjo</t>
  </si>
  <si>
    <t>Toplotna prehodnost U</t>
  </si>
  <si>
    <t>Vrednosti za obnovo (glede na temperaturni primankljaj)</t>
  </si>
  <si>
    <t>Delež toplotnih mostov</t>
  </si>
  <si>
    <t>Učinkovitost vračanja toplote</t>
  </si>
  <si>
    <t>Rast zunanjih temperatur v primerjavi z arhivskimi podatki</t>
  </si>
  <si>
    <t>Delež okvirjev na celotni površini oken</t>
  </si>
  <si>
    <t>g - vrednost</t>
  </si>
  <si>
    <t>Učinkovitost - sevalne izgube</t>
  </si>
  <si>
    <t>Učinkovitost - regulacija</t>
  </si>
  <si>
    <t>Učinkovitost - distribucija</t>
  </si>
  <si>
    <t>Delež TSV pri porabi toplotne energije</t>
  </si>
  <si>
    <t>Delež razsvetljave pri porabi električne energije</t>
  </si>
  <si>
    <t>Lastna elektrike iz FV - toplotna črpalka</t>
  </si>
  <si>
    <t>Lastna elektrike iz FV - drugo</t>
  </si>
  <si>
    <t xml:space="preserve">Proizvodnja elektrike FV </t>
  </si>
  <si>
    <t>Proizvodnja elektrike iz FV med obdobjem ogrevanja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</si>
</sst>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
    <numFmt numFmtId="167" formatCode="[$-410]d\-mmm;@"/>
    <numFmt numFmtId="168" formatCode="0_ ;[Red]\-0\ "/>
    <numFmt numFmtId="169" formatCode="0_)"/>
    <numFmt numFmtId="170" formatCode="dd/mm/yyyy;@"/>
    <numFmt numFmtId="171" formatCode="General_)"/>
    <numFmt numFmtId="172" formatCode="#,##0_);\(#,##0\)"/>
    <numFmt numFmtId="173" formatCode="0.00_ ;[Red]\-0.00\ "/>
    <numFmt numFmtId="174" formatCode="#,##0_ ;[Red]\-#,##0\ "/>
  </numFmts>
  <fonts count="58"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11"/>
      <color theme="1"/>
      <name val="Calibri"/>
      <family val="2"/>
      <scheme val="minor"/>
    </font>
    <font>
      <sz val="8"/>
      <name val="Calibri"/>
      <family val="2"/>
      <scheme val="minor"/>
    </font>
    <font>
      <b/>
      <sz val="20"/>
      <name val="Calibri"/>
      <family val="2"/>
      <scheme val="minor"/>
    </font>
    <font>
      <b/>
      <sz val="20"/>
      <color theme="1"/>
      <name val="Calibri"/>
      <family val="2"/>
      <scheme val="minor"/>
    </font>
    <font>
      <sz val="8"/>
      <color theme="1"/>
      <name val="Calibri"/>
      <family val="2"/>
      <scheme val="minor"/>
    </font>
    <font>
      <b/>
      <sz val="43"/>
      <color rgb="FF006600"/>
      <name val="Calibri"/>
      <family val="2"/>
      <scheme val="minor"/>
    </font>
    <font>
      <b/>
      <sz val="57"/>
      <color rgb="FF006600"/>
      <name val="Calibri"/>
      <family val="2"/>
      <scheme val="minor"/>
    </font>
    <font>
      <sz val="11"/>
      <color rgb="FF006600"/>
      <name val="Calibri"/>
      <family val="2"/>
      <scheme val="minor"/>
    </font>
    <font>
      <b/>
      <sz val="32"/>
      <color theme="0"/>
      <name val="Calibri"/>
      <family val="2"/>
      <scheme val="minor"/>
    </font>
    <font>
      <sz val="14"/>
      <color rgb="FF006600"/>
      <name val="Calibri"/>
      <family val="2"/>
      <scheme val="minor"/>
    </font>
    <font>
      <b/>
      <sz val="20"/>
      <color rgb="FF006600"/>
      <name val="Calibri"/>
      <family val="2"/>
      <scheme val="minor"/>
    </font>
    <font>
      <sz val="20"/>
      <color theme="1"/>
      <name val="Calibri"/>
      <family val="2"/>
      <scheme val="minor"/>
    </font>
    <font>
      <b/>
      <sz val="27"/>
      <color rgb="FF006600"/>
      <name val="Calibri"/>
      <family val="2"/>
      <scheme val="minor"/>
    </font>
    <font>
      <sz val="11"/>
      <color theme="9" tint="0.79998168889431442"/>
      <name val="Calibri"/>
      <family val="2"/>
      <scheme val="minor"/>
    </font>
    <font>
      <sz val="11"/>
      <name val="Calibri"/>
      <family val="2"/>
      <scheme val="minor"/>
    </font>
    <font>
      <sz val="12"/>
      <color theme="1"/>
      <name val="Calibri"/>
      <family val="2"/>
      <scheme val="minor"/>
    </font>
    <font>
      <sz val="9"/>
      <name val="Calibri"/>
      <family val="2"/>
      <scheme val="minor"/>
    </font>
    <font>
      <sz val="10"/>
      <color theme="1"/>
      <name val="Calibri"/>
      <family val="2"/>
    </font>
    <font>
      <vertAlign val="subscript"/>
      <sz val="10"/>
      <color theme="1"/>
      <name val="Calibri"/>
      <family val="2"/>
      <scheme val="minor"/>
    </font>
    <font>
      <vertAlign val="subscript"/>
      <sz val="10"/>
      <color theme="1"/>
      <name val="Calibri"/>
      <family val="2"/>
    </font>
    <font>
      <sz val="9"/>
      <color rgb="FFFF0000"/>
      <name val="Calibri"/>
      <family val="2"/>
      <scheme val="minor"/>
    </font>
    <font>
      <vertAlign val="subscript"/>
      <sz val="9"/>
      <color theme="1"/>
      <name val="Calibri"/>
      <family val="2"/>
      <scheme val="minor"/>
    </font>
    <font>
      <sz val="11.5"/>
      <color theme="1"/>
      <name val="Calibri"/>
      <family val="2"/>
    </font>
    <font>
      <sz val="9"/>
      <color theme="0" tint="-0.34998626667073579"/>
      <name val="Calibri"/>
      <family val="2"/>
      <scheme val="minor"/>
    </font>
    <font>
      <b/>
      <sz val="9"/>
      <color theme="1"/>
      <name val="Calibri"/>
      <family val="2"/>
      <scheme val="minor"/>
    </font>
    <font>
      <b/>
      <sz val="10"/>
      <color theme="1"/>
      <name val="Calibri"/>
      <family val="2"/>
      <scheme val="minor"/>
    </font>
    <font>
      <b/>
      <vertAlign val="subscript"/>
      <sz val="10"/>
      <color theme="1"/>
      <name val="Calibri"/>
      <family val="2"/>
      <scheme val="minor"/>
    </font>
    <font>
      <b/>
      <sz val="8"/>
      <color theme="1"/>
      <name val="Calibri"/>
      <family val="2"/>
      <scheme val="minor"/>
    </font>
    <font>
      <sz val="9"/>
      <color theme="1"/>
      <name val="Calibri"/>
      <family val="2"/>
    </font>
    <font>
      <vertAlign val="subscript"/>
      <sz val="9"/>
      <color theme="1"/>
      <name val="Calibri"/>
      <family val="2"/>
    </font>
    <font>
      <b/>
      <sz val="10"/>
      <color theme="1"/>
      <name val="Calibri"/>
      <family val="2"/>
    </font>
    <font>
      <b/>
      <vertAlign val="subscript"/>
      <sz val="9"/>
      <color theme="1"/>
      <name val="Calibri"/>
      <family val="2"/>
      <scheme val="minor"/>
    </font>
    <font>
      <sz val="8"/>
      <color theme="1"/>
      <name val="Calibri"/>
      <family val="2"/>
    </font>
    <font>
      <b/>
      <sz val="11"/>
      <name val="Calibri"/>
      <family val="2"/>
      <scheme val="minor"/>
    </font>
    <font>
      <sz val="9"/>
      <color rgb="FF0066FF"/>
      <name val="Calibri"/>
      <family val="2"/>
      <scheme val="minor"/>
    </font>
    <font>
      <b/>
      <i/>
      <sz val="9"/>
      <color theme="1"/>
      <name val="Calibri"/>
      <family val="2"/>
      <scheme val="minor"/>
    </font>
    <font>
      <b/>
      <sz val="9"/>
      <name val="Calibri"/>
      <family val="2"/>
      <scheme val="minor"/>
    </font>
    <font>
      <i/>
      <sz val="9"/>
      <color theme="3" tint="-0.249977111117893"/>
      <name val="Calibri"/>
      <family val="2"/>
      <scheme val="minor"/>
    </font>
    <font>
      <i/>
      <sz val="9"/>
      <color rgb="FF0066FF"/>
      <name val="Calibri"/>
      <family val="2"/>
      <scheme val="minor"/>
    </font>
    <font>
      <b/>
      <i/>
      <sz val="9"/>
      <color rgb="FF0066FF"/>
      <name val="Calibri"/>
      <family val="2"/>
      <scheme val="minor"/>
    </font>
    <font>
      <sz val="10"/>
      <name val="Courier"/>
      <family val="3"/>
    </font>
    <font>
      <u/>
      <sz val="9"/>
      <color theme="1"/>
      <name val="Calibri"/>
      <family val="2"/>
      <scheme val="minor"/>
    </font>
    <font>
      <sz val="10"/>
      <name val="Arial"/>
      <family val="2"/>
    </font>
    <font>
      <b/>
      <sz val="18"/>
      <color theme="1"/>
      <name val="Calibri"/>
      <family val="2"/>
      <scheme val="minor"/>
    </font>
    <font>
      <b/>
      <sz val="11"/>
      <color rgb="FFFF0000"/>
      <name val="Calibri"/>
      <family val="2"/>
      <scheme val="minor"/>
    </font>
    <font>
      <sz val="9"/>
      <color rgb="FF0033CC"/>
      <name val="Calibri"/>
      <family val="2"/>
      <scheme val="minor"/>
    </font>
    <font>
      <b/>
      <sz val="9"/>
      <color rgb="FFFF0000"/>
      <name val="Calibri"/>
      <family val="2"/>
      <scheme val="minor"/>
    </font>
    <font>
      <b/>
      <sz val="11"/>
      <color rgb="FF006600"/>
      <name val="Calibri"/>
      <family val="2"/>
      <scheme val="minor"/>
    </font>
    <font>
      <b/>
      <sz val="9"/>
      <name val="Calibri"/>
      <family val="2"/>
    </font>
    <font>
      <sz val="8"/>
      <color theme="0" tint="-0.34998626667073579"/>
      <name val="Calibri"/>
      <family val="2"/>
      <scheme val="minor"/>
    </font>
    <font>
      <vertAlign val="subscript"/>
      <sz val="9"/>
      <color theme="0" tint="-0.34998626667073579"/>
      <name val="Calibri"/>
      <family val="2"/>
      <scheme val="minor"/>
    </font>
    <font>
      <b/>
      <sz val="1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66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6600"/>
      </top>
      <bottom/>
      <diagonal/>
    </border>
    <border>
      <left/>
      <right/>
      <top style="double">
        <color auto="1"/>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0" fontId="46" fillId="0" borderId="0"/>
    <xf numFmtId="0" fontId="48" fillId="0" borderId="0"/>
  </cellStyleXfs>
  <cellXfs count="799">
    <xf numFmtId="0" fontId="0" fillId="0" borderId="0" xfId="0"/>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3" borderId="0" xfId="0" applyFill="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6" borderId="6" xfId="0" applyFill="1" applyBorder="1" applyAlignment="1">
      <alignment vertical="center"/>
    </xf>
    <xf numFmtId="0" fontId="0" fillId="6" borderId="0" xfId="0"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3" fillId="6" borderId="4" xfId="0" applyFont="1" applyFill="1" applyBorder="1" applyAlignment="1"/>
    <xf numFmtId="0" fontId="3" fillId="2" borderId="4" xfId="0" applyFont="1" applyFill="1" applyBorder="1" applyAlignment="1"/>
    <xf numFmtId="0" fontId="0" fillId="4" borderId="3" xfId="0" applyFill="1" applyBorder="1" applyAlignment="1">
      <alignment vertical="center"/>
    </xf>
    <xf numFmtId="0" fontId="3" fillId="4" borderId="4" xfId="0" applyFont="1" applyFill="1" applyBorder="1" applyAlignment="1"/>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0" xfId="0" applyFill="1" applyBorder="1" applyAlignment="1">
      <alignment vertical="center"/>
    </xf>
    <xf numFmtId="0" fontId="0" fillId="4" borderId="7" xfId="0" applyFill="1" applyBorder="1" applyAlignment="1">
      <alignment vertical="center"/>
    </xf>
    <xf numFmtId="0" fontId="0" fillId="4" borderId="2"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7" borderId="3" xfId="0" applyFill="1" applyBorder="1" applyAlignment="1">
      <alignment vertical="center"/>
    </xf>
    <xf numFmtId="0" fontId="3" fillId="7" borderId="4" xfId="0" applyFont="1" applyFill="1" applyBorder="1" applyAlignment="1"/>
    <xf numFmtId="0" fontId="0" fillId="7" borderId="4" xfId="0" applyFill="1" applyBorder="1" applyAlignment="1">
      <alignment vertical="center"/>
    </xf>
    <xf numFmtId="0" fontId="0" fillId="7" borderId="5" xfId="0" applyFill="1" applyBorder="1" applyAlignment="1">
      <alignment vertical="center"/>
    </xf>
    <xf numFmtId="0" fontId="0" fillId="7" borderId="6" xfId="0" applyFill="1" applyBorder="1" applyAlignment="1">
      <alignment vertical="center"/>
    </xf>
    <xf numFmtId="0" fontId="0" fillId="7" borderId="0" xfId="0" applyFill="1" applyBorder="1" applyAlignment="1">
      <alignment vertical="center"/>
    </xf>
    <xf numFmtId="0" fontId="0" fillId="7" borderId="7" xfId="0" applyFill="1" applyBorder="1" applyAlignment="1">
      <alignment vertical="center"/>
    </xf>
    <xf numFmtId="0" fontId="2" fillId="7" borderId="0" xfId="0" applyFont="1" applyFill="1" applyBorder="1" applyAlignment="1">
      <alignment vertical="center"/>
    </xf>
    <xf numFmtId="0" fontId="0" fillId="7" borderId="0" xfId="0" applyFill="1" applyBorder="1" applyAlignment="1">
      <alignment horizontal="left" vertical="center"/>
    </xf>
    <xf numFmtId="0" fontId="0" fillId="7" borderId="8" xfId="0" applyFill="1" applyBorder="1" applyAlignment="1">
      <alignment vertical="center"/>
    </xf>
    <xf numFmtId="0" fontId="0" fillId="7" borderId="2" xfId="0" applyFill="1" applyBorder="1" applyAlignment="1">
      <alignment vertical="center"/>
    </xf>
    <xf numFmtId="0" fontId="0" fillId="7" borderId="9" xfId="0" applyFill="1" applyBorder="1" applyAlignment="1">
      <alignment vertical="center"/>
    </xf>
    <xf numFmtId="0" fontId="0" fillId="5" borderId="3" xfId="0" applyFill="1" applyBorder="1" applyAlignment="1">
      <alignment vertical="center"/>
    </xf>
    <xf numFmtId="0" fontId="3" fillId="5" borderId="4" xfId="0" applyFont="1" applyFill="1" applyBorder="1" applyAlignment="1"/>
    <xf numFmtId="0" fontId="0" fillId="5" borderId="4"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0"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2" xfId="0" applyFill="1" applyBorder="1" applyAlignment="1">
      <alignment vertical="center"/>
    </xf>
    <xf numFmtId="0" fontId="0" fillId="5" borderId="9" xfId="0" applyFill="1" applyBorder="1" applyAlignment="1">
      <alignment vertical="center"/>
    </xf>
    <xf numFmtId="0" fontId="4" fillId="3" borderId="0" xfId="0" applyFont="1" applyFill="1" applyAlignment="1">
      <alignment vertical="top" wrapText="1"/>
    </xf>
    <xf numFmtId="0" fontId="5" fillId="3" borderId="0" xfId="0" applyFont="1" applyFill="1" applyAlignment="1">
      <alignment horizontal="left"/>
    </xf>
    <xf numFmtId="0" fontId="0" fillId="5" borderId="0" xfId="0" applyFill="1" applyBorder="1" applyAlignment="1">
      <alignment horizontal="left" vertical="center" indent="1"/>
    </xf>
    <xf numFmtId="0" fontId="0" fillId="5" borderId="0" xfId="0" applyFill="1" applyBorder="1" applyAlignment="1">
      <alignment horizontal="left" vertical="top" wrapText="1" indent="1"/>
    </xf>
    <xf numFmtId="0" fontId="0" fillId="5" borderId="0" xfId="0" applyFill="1" applyBorder="1" applyAlignment="1">
      <alignment horizontal="right" vertical="center" indent="1"/>
    </xf>
    <xf numFmtId="0" fontId="3" fillId="5" borderId="0" xfId="0" applyFont="1" applyFill="1" applyBorder="1" applyAlignment="1"/>
    <xf numFmtId="0" fontId="6" fillId="5" borderId="4" xfId="0" applyFont="1" applyFill="1" applyBorder="1" applyAlignment="1"/>
    <xf numFmtId="0" fontId="0" fillId="8" borderId="3" xfId="0" applyFill="1" applyBorder="1" applyAlignment="1">
      <alignment vertical="center"/>
    </xf>
    <xf numFmtId="0" fontId="3" fillId="8" borderId="4" xfId="0" applyFont="1" applyFill="1" applyBorder="1" applyAlignment="1"/>
    <xf numFmtId="0" fontId="0" fillId="8" borderId="4" xfId="0" applyFill="1" applyBorder="1" applyAlignment="1">
      <alignment vertical="center"/>
    </xf>
    <xf numFmtId="0" fontId="0" fillId="8" borderId="5" xfId="0" applyFill="1" applyBorder="1" applyAlignment="1">
      <alignment vertical="center"/>
    </xf>
    <xf numFmtId="0" fontId="0" fillId="8" borderId="6" xfId="0" applyFill="1" applyBorder="1" applyAlignment="1">
      <alignment vertical="center"/>
    </xf>
    <xf numFmtId="0" fontId="0" fillId="8" borderId="0" xfId="0" applyFill="1" applyBorder="1" applyAlignment="1">
      <alignment vertical="center"/>
    </xf>
    <xf numFmtId="0" fontId="0" fillId="8" borderId="7" xfId="0" applyFill="1" applyBorder="1" applyAlignment="1">
      <alignment vertical="center"/>
    </xf>
    <xf numFmtId="0" fontId="0" fillId="8" borderId="0" xfId="0" applyFill="1" applyBorder="1" applyAlignment="1">
      <alignment horizontal="right" vertical="center" indent="1"/>
    </xf>
    <xf numFmtId="0" fontId="0" fillId="8" borderId="0" xfId="0" applyFill="1" applyBorder="1" applyAlignment="1">
      <alignment horizontal="left" vertical="center"/>
    </xf>
    <xf numFmtId="0" fontId="1" fillId="8" borderId="0" xfId="0" applyFont="1" applyFill="1" applyBorder="1" applyAlignment="1">
      <alignment vertical="center"/>
    </xf>
    <xf numFmtId="0" fontId="1" fillId="8" borderId="0" xfId="0" applyFont="1" applyFill="1" applyBorder="1" applyAlignment="1">
      <alignment vertical="top" wrapText="1"/>
    </xf>
    <xf numFmtId="0" fontId="0" fillId="8" borderId="0" xfId="0" applyFill="1" applyBorder="1" applyAlignment="1">
      <alignment horizontal="right" vertical="center"/>
    </xf>
    <xf numFmtId="0" fontId="2" fillId="8" borderId="0" xfId="0" applyFont="1" applyFill="1" applyBorder="1" applyAlignment="1">
      <alignment horizontal="right" vertical="center"/>
    </xf>
    <xf numFmtId="0" fontId="2" fillId="8" borderId="0" xfId="0" applyFont="1" applyFill="1" applyBorder="1" applyAlignment="1">
      <alignment vertical="center"/>
    </xf>
    <xf numFmtId="0" fontId="0" fillId="8" borderId="8" xfId="0" applyFill="1" applyBorder="1" applyAlignment="1">
      <alignment vertical="center"/>
    </xf>
    <xf numFmtId="0" fontId="0" fillId="8" borderId="2" xfId="0" applyFill="1" applyBorder="1" applyAlignment="1">
      <alignment vertical="center"/>
    </xf>
    <xf numFmtId="0" fontId="0" fillId="8" borderId="9" xfId="0" applyFill="1" applyBorder="1" applyAlignment="1">
      <alignment vertical="center"/>
    </xf>
    <xf numFmtId="0" fontId="6" fillId="4" borderId="4" xfId="0" applyFont="1" applyFill="1" applyBorder="1" applyAlignment="1"/>
    <xf numFmtId="0" fontId="3" fillId="4" borderId="0" xfId="0" applyFont="1" applyFill="1" applyBorder="1" applyAlignment="1"/>
    <xf numFmtId="0" fontId="6" fillId="4" borderId="0" xfId="0" applyFont="1" applyFill="1" applyBorder="1" applyAlignment="1"/>
    <xf numFmtId="0" fontId="0" fillId="2" borderId="0" xfId="0" applyFill="1" applyBorder="1" applyAlignment="1"/>
    <xf numFmtId="0" fontId="0" fillId="2" borderId="0" xfId="0" applyFill="1" applyBorder="1" applyAlignment="1">
      <alignment horizontal="left"/>
    </xf>
    <xf numFmtId="0" fontId="0" fillId="4" borderId="0" xfId="0" applyFill="1" applyBorder="1" applyAlignment="1">
      <alignment horizontal="left" vertical="center" indent="1"/>
    </xf>
    <xf numFmtId="0" fontId="6" fillId="7" borderId="0" xfId="0" applyFont="1" applyFill="1" applyBorder="1" applyAlignment="1">
      <alignment vertical="center"/>
    </xf>
    <xf numFmtId="0" fontId="2" fillId="7" borderId="0" xfId="0" applyFont="1" applyFill="1" applyBorder="1" applyAlignment="1">
      <alignment horizontal="left" vertical="center" indent="1"/>
    </xf>
    <xf numFmtId="0" fontId="0" fillId="7" borderId="0" xfId="0" applyFill="1" applyBorder="1" applyAlignment="1">
      <alignment horizontal="left" vertical="center" indent="1"/>
    </xf>
    <xf numFmtId="4" fontId="0" fillId="3" borderId="0" xfId="0" applyNumberFormat="1" applyFill="1" applyAlignment="1">
      <alignment vertical="center"/>
    </xf>
    <xf numFmtId="0" fontId="0" fillId="7" borderId="0" xfId="0" applyFill="1" applyBorder="1" applyAlignment="1">
      <alignment horizontal="right" vertical="center" indent="1"/>
    </xf>
    <xf numFmtId="0" fontId="0" fillId="5" borderId="0" xfId="0" applyFill="1" applyBorder="1" applyAlignment="1">
      <alignment horizontal="left" vertical="top" wrapText="1" indent="1"/>
    </xf>
    <xf numFmtId="0" fontId="0" fillId="5" borderId="6" xfId="0" applyFill="1" applyBorder="1" applyAlignment="1">
      <alignment horizontal="left" vertical="center" indent="1"/>
    </xf>
    <xf numFmtId="0" fontId="0" fillId="5" borderId="0" xfId="0" applyFill="1" applyBorder="1" applyAlignment="1">
      <alignment horizontal="left" vertical="center" indent="1"/>
    </xf>
    <xf numFmtId="0" fontId="10" fillId="3" borderId="0" xfId="0" applyFont="1" applyFill="1" applyAlignment="1">
      <alignment vertical="center"/>
    </xf>
    <xf numFmtId="0" fontId="0" fillId="10" borderId="1" xfId="0" applyFill="1" applyBorder="1" applyAlignment="1">
      <alignment horizontal="center" vertical="center"/>
    </xf>
    <xf numFmtId="0" fontId="0" fillId="10" borderId="8" xfId="0" applyFill="1" applyBorder="1" applyAlignment="1" applyProtection="1">
      <alignment vertical="center"/>
      <protection locked="0"/>
    </xf>
    <xf numFmtId="0" fontId="13" fillId="3" borderId="0" xfId="0" applyFont="1" applyFill="1" applyAlignment="1">
      <alignment vertical="center"/>
    </xf>
    <xf numFmtId="0" fontId="17" fillId="3" borderId="0" xfId="0" applyFont="1" applyFill="1" applyAlignment="1">
      <alignment vertical="center"/>
    </xf>
    <xf numFmtId="0" fontId="0" fillId="3" borderId="0" xfId="0" applyFill="1" applyAlignment="1">
      <alignment vertical="top" wrapText="1"/>
    </xf>
    <xf numFmtId="0" fontId="0" fillId="8" borderId="0" xfId="0" applyFont="1" applyFill="1" applyBorder="1" applyAlignment="1">
      <alignment horizontal="left" vertical="center" indent="1"/>
    </xf>
    <xf numFmtId="0" fontId="0" fillId="8" borderId="0" xfId="0" applyFill="1" applyBorder="1" applyAlignment="1">
      <alignment horizontal="left" vertical="center" indent="1"/>
    </xf>
    <xf numFmtId="0" fontId="0" fillId="5" borderId="2" xfId="0" applyFill="1" applyBorder="1" applyAlignment="1">
      <alignment horizontal="left" vertical="center" indent="1"/>
    </xf>
    <xf numFmtId="0" fontId="19" fillId="4" borderId="0" xfId="0" applyFont="1"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left" vertical="center" indent="1"/>
    </xf>
    <xf numFmtId="0" fontId="0" fillId="5" borderId="7" xfId="0" applyFill="1" applyBorder="1" applyAlignment="1">
      <alignment horizontal="center" vertical="center"/>
    </xf>
    <xf numFmtId="0" fontId="0" fillId="4" borderId="0" xfId="0" applyFill="1" applyBorder="1" applyAlignment="1">
      <alignment horizontal="right" vertical="center" indent="1"/>
    </xf>
    <xf numFmtId="0" fontId="0" fillId="3" borderId="14" xfId="0" applyFill="1" applyBorder="1" applyAlignment="1">
      <alignment vertical="center"/>
    </xf>
    <xf numFmtId="0" fontId="0" fillId="3" borderId="15" xfId="0" applyFill="1" applyBorder="1" applyAlignment="1">
      <alignment vertical="center"/>
    </xf>
    <xf numFmtId="0" fontId="3" fillId="5" borderId="4" xfId="0" applyFont="1" applyFill="1" applyBorder="1" applyAlignment="1">
      <alignment horizontal="right" indent="1"/>
    </xf>
    <xf numFmtId="0" fontId="3" fillId="4" borderId="4" xfId="0" applyFont="1" applyFill="1" applyBorder="1" applyAlignment="1">
      <alignment horizontal="right" indent="1"/>
    </xf>
    <xf numFmtId="0" fontId="0" fillId="10" borderId="1" xfId="0" applyFill="1" applyBorder="1" applyAlignment="1">
      <alignment vertical="center"/>
    </xf>
    <xf numFmtId="0" fontId="20" fillId="2" borderId="0" xfId="0" applyFont="1" applyFill="1" applyBorder="1" applyAlignment="1">
      <alignment vertical="center"/>
    </xf>
    <xf numFmtId="0" fontId="20" fillId="2" borderId="0" xfId="0" applyFont="1" applyFill="1" applyBorder="1" applyAlignment="1"/>
    <xf numFmtId="0" fontId="2" fillId="8" borderId="0" xfId="0" applyFont="1" applyFill="1" applyBorder="1" applyAlignment="1">
      <alignment horizontal="right" vertical="center" indent="1"/>
    </xf>
    <xf numFmtId="0" fontId="0" fillId="5" borderId="6" xfId="0" applyFill="1" applyBorder="1" applyAlignment="1">
      <alignment horizontal="left" vertical="top" indent="1"/>
    </xf>
    <xf numFmtId="0" fontId="0" fillId="5" borderId="0" xfId="0" applyFill="1" applyBorder="1" applyAlignment="1">
      <alignment horizontal="left" vertical="top" indent="1"/>
    </xf>
    <xf numFmtId="0" fontId="0" fillId="5" borderId="0" xfId="0" applyFill="1" applyBorder="1" applyAlignment="1">
      <alignment horizontal="left"/>
    </xf>
    <xf numFmtId="0" fontId="0" fillId="5" borderId="0" xfId="0" applyFill="1" applyBorder="1" applyAlignment="1">
      <alignment horizontal="left" vertical="center"/>
    </xf>
    <xf numFmtId="0" fontId="0" fillId="10" borderId="10" xfId="0" applyFill="1" applyBorder="1" applyAlignment="1">
      <alignment horizontal="center" vertical="center"/>
    </xf>
    <xf numFmtId="0" fontId="0" fillId="10" borderId="10" xfId="0" applyFill="1" applyBorder="1" applyAlignment="1">
      <alignment vertical="center"/>
    </xf>
    <xf numFmtId="0" fontId="0" fillId="10" borderId="11" xfId="0" applyFill="1" applyBorder="1" applyAlignment="1">
      <alignment vertical="center"/>
    </xf>
    <xf numFmtId="0" fontId="3" fillId="7" borderId="0" xfId="0" applyFont="1" applyFill="1" applyBorder="1" applyAlignment="1"/>
    <xf numFmtId="0" fontId="0" fillId="6" borderId="0" xfId="0" applyFill="1" applyBorder="1" applyAlignment="1">
      <alignment horizontal="center" vertical="center"/>
    </xf>
    <xf numFmtId="0" fontId="21" fillId="7" borderId="0" xfId="0" applyFont="1" applyFill="1" applyBorder="1" applyAlignment="1"/>
    <xf numFmtId="0" fontId="21" fillId="7" borderId="0" xfId="0" applyFont="1" applyFill="1" applyBorder="1" applyAlignment="1">
      <alignment horizontal="right" indent="1"/>
    </xf>
    <xf numFmtId="0" fontId="3" fillId="2" borderId="0" xfId="0" applyFont="1" applyFill="1" applyBorder="1" applyAlignment="1"/>
    <xf numFmtId="0" fontId="0" fillId="10" borderId="12" xfId="0" applyFill="1" applyBorder="1" applyAlignment="1">
      <alignment vertical="center"/>
    </xf>
    <xf numFmtId="0" fontId="0" fillId="2" borderId="0" xfId="0" applyFill="1" applyBorder="1" applyAlignment="1">
      <alignment horizontal="left" vertical="center"/>
    </xf>
    <xf numFmtId="0" fontId="20" fillId="2" borderId="0" xfId="0" applyFont="1" applyFill="1" applyBorder="1" applyAlignment="1">
      <alignment vertical="top" wrapText="1"/>
    </xf>
    <xf numFmtId="0" fontId="20" fillId="2" borderId="2" xfId="0" applyFont="1" applyFill="1" applyBorder="1" applyAlignment="1">
      <alignment vertical="top" wrapText="1"/>
    </xf>
    <xf numFmtId="0" fontId="0" fillId="2" borderId="0" xfId="0" applyFill="1" applyBorder="1" applyAlignment="1">
      <alignment horizontal="right" vertical="center"/>
    </xf>
    <xf numFmtId="0" fontId="0" fillId="6" borderId="0" xfId="0" applyFill="1" applyBorder="1" applyAlignment="1">
      <alignment horizontal="right" vertical="center" indent="1"/>
    </xf>
    <xf numFmtId="0" fontId="0" fillId="6" borderId="0" xfId="0" applyFill="1" applyBorder="1" applyAlignment="1">
      <alignment horizontal="left" vertical="center" indent="1"/>
    </xf>
    <xf numFmtId="0" fontId="0" fillId="6" borderId="2" xfId="0" applyFill="1" applyBorder="1" applyAlignment="1">
      <alignment horizontal="right" vertical="center" inden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5" fillId="0" borderId="0" xfId="0" applyFont="1" applyAlignment="1">
      <alignment horizontal="center" vertical="center"/>
    </xf>
    <xf numFmtId="0" fontId="0" fillId="5" borderId="6" xfId="0" applyFill="1" applyBorder="1" applyAlignment="1">
      <alignment horizontal="left" vertical="center" indent="1"/>
    </xf>
    <xf numFmtId="0" fontId="0" fillId="5" borderId="0" xfId="0" applyFill="1" applyBorder="1" applyAlignment="1">
      <alignment horizontal="left" vertical="center" indent="1"/>
    </xf>
    <xf numFmtId="0" fontId="5" fillId="0" borderId="1" xfId="0" applyFont="1" applyBorder="1" applyAlignment="1">
      <alignment horizontal="center" vertical="center"/>
    </xf>
    <xf numFmtId="0" fontId="22" fillId="0" borderId="10" xfId="0" applyFont="1" applyFill="1" applyBorder="1" applyAlignment="1">
      <alignment horizontal="left" vertical="center" wrapText="1" readingOrder="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22" fillId="0" borderId="12" xfId="0" applyFont="1" applyFill="1" applyBorder="1" applyAlignment="1">
      <alignment horizontal="left" vertical="center" wrapText="1" readingOrder="1"/>
    </xf>
    <xf numFmtId="0" fontId="22" fillId="0" borderId="11" xfId="0" applyFont="1" applyFill="1" applyBorder="1" applyAlignment="1">
      <alignment vertical="center" wrapText="1" readingOrder="1"/>
    </xf>
    <xf numFmtId="0" fontId="22" fillId="0" borderId="10" xfId="0" applyFont="1" applyFill="1" applyBorder="1" applyAlignment="1">
      <alignment vertical="center" readingOrder="1"/>
    </xf>
    <xf numFmtId="0" fontId="22" fillId="0" borderId="10" xfId="0" applyFont="1" applyFill="1" applyBorder="1" applyAlignment="1">
      <alignment horizontal="left" vertical="center" readingOrder="1"/>
    </xf>
    <xf numFmtId="0" fontId="7" fillId="0" borderId="11" xfId="0" applyFont="1" applyFill="1" applyBorder="1" applyAlignment="1">
      <alignment horizontal="left" vertical="center" wrapText="1" indent="1" readingOrder="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164" fontId="22" fillId="0" borderId="11" xfId="0" applyNumberFormat="1" applyFont="1" applyFill="1" applyBorder="1" applyAlignment="1">
      <alignment horizontal="right" vertical="center" wrapText="1" indent="1" readingOrder="1"/>
    </xf>
    <xf numFmtId="167" fontId="5" fillId="0" borderId="10" xfId="0" applyNumberFormat="1" applyFont="1" applyBorder="1" applyAlignment="1">
      <alignment horizontal="center" vertical="center"/>
    </xf>
    <xf numFmtId="0" fontId="10" fillId="0" borderId="12" xfId="0" applyFont="1" applyBorder="1" applyAlignment="1">
      <alignment horizontal="center" vertical="center"/>
    </xf>
    <xf numFmtId="166" fontId="5" fillId="0" borderId="1" xfId="0" applyNumberFormat="1" applyFont="1" applyBorder="1" applyAlignment="1">
      <alignment horizontal="center" vertical="center"/>
    </xf>
    <xf numFmtId="0" fontId="0" fillId="5" borderId="0" xfId="0" applyFill="1" applyBorder="1" applyAlignment="1">
      <alignment horizontal="left" vertical="center" indent="1"/>
    </xf>
    <xf numFmtId="0" fontId="0" fillId="5" borderId="0" xfId="0" applyFill="1" applyBorder="1" applyAlignment="1">
      <alignment horizontal="left" vertical="top" wrapText="1" indent="1"/>
    </xf>
    <xf numFmtId="0" fontId="5" fillId="0" borderId="1" xfId="0" applyFont="1" applyBorder="1" applyAlignment="1">
      <alignment horizontal="center" vertical="center"/>
    </xf>
    <xf numFmtId="0" fontId="5" fillId="0" borderId="10" xfId="0" applyFont="1" applyBorder="1" applyAlignment="1">
      <alignment horizontal="center" vertical="center"/>
    </xf>
    <xf numFmtId="1" fontId="5" fillId="0" borderId="10" xfId="0" applyNumberFormat="1" applyFont="1" applyBorder="1" applyAlignment="1">
      <alignment horizontal="center" vertical="center"/>
    </xf>
    <xf numFmtId="0" fontId="10" fillId="0" borderId="11" xfId="0" applyFont="1" applyBorder="1" applyAlignment="1">
      <alignment horizontal="center" vertical="center" wrapText="1"/>
    </xf>
    <xf numFmtId="166" fontId="5" fillId="0" borderId="0" xfId="0" applyNumberFormat="1" applyFont="1" applyAlignment="1">
      <alignment horizontal="center" vertical="center"/>
    </xf>
    <xf numFmtId="1" fontId="5" fillId="0" borderId="1" xfId="0" applyNumberFormat="1" applyFont="1" applyBorder="1" applyAlignment="1">
      <alignment horizontal="center" vertical="center"/>
    </xf>
    <xf numFmtId="0" fontId="22" fillId="0" borderId="12" xfId="0" applyFont="1" applyFill="1" applyBorder="1" applyAlignment="1">
      <alignment horizontal="center" vertical="center" wrapText="1" readingOrder="1"/>
    </xf>
    <xf numFmtId="0" fontId="22" fillId="0" borderId="1" xfId="0" applyFont="1" applyFill="1" applyBorder="1" applyAlignment="1">
      <alignment horizontal="center" vertical="center" wrapText="1" readingOrder="1"/>
    </xf>
    <xf numFmtId="0" fontId="22" fillId="0" borderId="1" xfId="0" applyFont="1" applyFill="1" applyBorder="1" applyAlignment="1">
      <alignment horizontal="left" vertical="center" wrapText="1" readingOrder="1"/>
    </xf>
    <xf numFmtId="0" fontId="4" fillId="0" borderId="0" xfId="0" applyFont="1" applyAlignment="1">
      <alignment horizontal="center" vertical="center"/>
    </xf>
    <xf numFmtId="0" fontId="4" fillId="0" borderId="2" xfId="0" applyFont="1" applyBorder="1" applyAlignment="1">
      <alignment horizontal="center" vertical="center"/>
    </xf>
    <xf numFmtId="0" fontId="23" fillId="0" borderId="0" xfId="0" applyFont="1" applyAlignment="1">
      <alignment horizontal="center" vertical="center"/>
    </xf>
    <xf numFmtId="0" fontId="10" fillId="0" borderId="0" xfId="0" applyFont="1" applyAlignment="1">
      <alignment horizontal="center" vertical="center"/>
    </xf>
    <xf numFmtId="4" fontId="5"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indent="1"/>
    </xf>
    <xf numFmtId="0" fontId="5" fillId="0" borderId="11" xfId="0" applyFont="1" applyBorder="1" applyAlignment="1">
      <alignment horizontal="right" vertical="center" indent="1"/>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4" fontId="5" fillId="0" borderId="0" xfId="0" applyNumberFormat="1" applyFont="1" applyAlignment="1">
      <alignment horizontal="center" vertical="center"/>
    </xf>
    <xf numFmtId="0" fontId="5" fillId="0" borderId="0" xfId="0" applyFont="1" applyBorder="1" applyAlignment="1">
      <alignment horizontal="center" vertical="center"/>
    </xf>
    <xf numFmtId="0" fontId="10" fillId="0" borderId="11" xfId="0" applyFont="1" applyBorder="1" applyAlignment="1">
      <alignment horizontal="left" vertical="center" indent="1"/>
    </xf>
    <xf numFmtId="0" fontId="10"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1" fontId="5" fillId="0" borderId="0" xfId="0" applyNumberFormat="1" applyFont="1" applyBorder="1" applyAlignment="1">
      <alignment horizontal="center" vertical="center"/>
    </xf>
    <xf numFmtId="0" fontId="5" fillId="0" borderId="11" xfId="0" applyFont="1" applyBorder="1" applyAlignment="1">
      <alignment horizontal="left" vertical="center"/>
    </xf>
    <xf numFmtId="4" fontId="22" fillId="0" borderId="1" xfId="0" applyNumberFormat="1" applyFont="1" applyBorder="1" applyAlignment="1">
      <alignment horizontal="center" vertical="center"/>
    </xf>
    <xf numFmtId="0" fontId="10" fillId="0" borderId="10" xfId="0" applyFont="1" applyBorder="1" applyAlignment="1">
      <alignment horizontal="center" vertical="center" wrapText="1"/>
    </xf>
    <xf numFmtId="4" fontId="26" fillId="10" borderId="1" xfId="0" applyNumberFormat="1" applyFont="1" applyFill="1" applyBorder="1" applyAlignment="1">
      <alignment horizontal="center" vertical="center"/>
    </xf>
    <xf numFmtId="1" fontId="26" fillId="10" borderId="1" xfId="0" applyNumberFormat="1" applyFont="1" applyFill="1" applyBorder="1" applyAlignment="1">
      <alignment horizontal="center" vertical="center"/>
    </xf>
    <xf numFmtId="0" fontId="26" fillId="10" borderId="1" xfId="0" applyFont="1" applyFill="1" applyBorder="1" applyAlignment="1">
      <alignment horizontal="center" vertical="center"/>
    </xf>
    <xf numFmtId="4" fontId="26" fillId="10" borderId="11" xfId="0" applyNumberFormat="1" applyFont="1" applyFill="1" applyBorder="1" applyAlignment="1">
      <alignment horizontal="center" vertical="center"/>
    </xf>
    <xf numFmtId="0" fontId="0" fillId="3" borderId="6" xfId="0" applyFill="1" applyBorder="1" applyAlignment="1">
      <alignment vertical="center"/>
    </xf>
    <xf numFmtId="0" fontId="5"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wrapText="1"/>
    </xf>
    <xf numFmtId="0" fontId="5" fillId="0" borderId="7" xfId="0" applyFont="1" applyBorder="1" applyAlignment="1">
      <alignment horizontal="center" vertical="center"/>
    </xf>
    <xf numFmtId="4" fontId="5" fillId="0" borderId="7" xfId="0" applyNumberFormat="1" applyFont="1" applyBorder="1" applyAlignment="1">
      <alignment horizontal="center" vertical="center"/>
    </xf>
    <xf numFmtId="0" fontId="20" fillId="5" borderId="0" xfId="0" applyFont="1" applyFill="1" applyBorder="1" applyAlignment="1">
      <alignment vertical="center"/>
    </xf>
    <xf numFmtId="0" fontId="20" fillId="3" borderId="1" xfId="0" applyFont="1" applyFill="1" applyBorder="1" applyAlignment="1">
      <alignment horizontal="center" vertical="center"/>
    </xf>
    <xf numFmtId="0" fontId="20" fillId="5" borderId="0" xfId="0" applyFont="1" applyFill="1" applyBorder="1" applyAlignment="1">
      <alignment horizontal="left" vertical="center" indent="1"/>
    </xf>
    <xf numFmtId="0" fontId="20" fillId="7" borderId="0" xfId="0" applyFont="1" applyFill="1" applyBorder="1" applyAlignment="1">
      <alignment vertical="center"/>
    </xf>
    <xf numFmtId="0" fontId="10"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26" fillId="0" borderId="6" xfId="0" applyFont="1" applyFill="1" applyBorder="1" applyAlignment="1">
      <alignment horizontal="center" vertical="center"/>
    </xf>
    <xf numFmtId="0" fontId="5" fillId="0" borderId="18" xfId="0" applyFont="1" applyBorder="1" applyAlignment="1">
      <alignment horizontal="center" vertical="center"/>
    </xf>
    <xf numFmtId="0" fontId="10" fillId="0" borderId="11" xfId="0" applyFont="1" applyBorder="1" applyAlignment="1">
      <alignment vertical="center" wrapText="1"/>
    </xf>
    <xf numFmtId="0" fontId="4" fillId="0" borderId="0" xfId="0" applyFont="1" applyBorder="1" applyAlignment="1">
      <alignment vertical="center"/>
    </xf>
    <xf numFmtId="4"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22" fillId="0" borderId="1" xfId="0" applyFont="1" applyFill="1" applyBorder="1" applyAlignment="1">
      <alignment horizontal="center" vertical="center"/>
    </xf>
    <xf numFmtId="4" fontId="5" fillId="0" borderId="0" xfId="0" applyNumberFormat="1" applyFont="1" applyBorder="1" applyAlignment="1">
      <alignment horizontal="center" vertical="center"/>
    </xf>
    <xf numFmtId="0" fontId="7"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3" fontId="26" fillId="10" borderId="1" xfId="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3" fontId="22" fillId="0" borderId="11" xfId="0" applyNumberFormat="1" applyFont="1" applyFill="1" applyBorder="1" applyAlignment="1">
      <alignment horizontal="center" vertical="center"/>
    </xf>
    <xf numFmtId="165" fontId="5" fillId="0" borderId="10" xfId="0" applyNumberFormat="1" applyFont="1" applyBorder="1" applyAlignment="1">
      <alignment horizontal="right" vertical="center"/>
    </xf>
    <xf numFmtId="0" fontId="5" fillId="0" borderId="11" xfId="0" applyFont="1" applyBorder="1" applyAlignment="1">
      <alignment horizontal="left" vertical="center" indent="1"/>
    </xf>
    <xf numFmtId="0" fontId="10" fillId="0" borderId="0" xfId="0" applyFont="1" applyBorder="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Border="1" applyAlignment="1">
      <alignment horizontal="left" vertical="center" indent="1"/>
    </xf>
    <xf numFmtId="0" fontId="5" fillId="0" borderId="0" xfId="0" applyFont="1" applyFill="1" applyBorder="1" applyAlignment="1">
      <alignment horizontal="right" vertical="center" indent="1"/>
    </xf>
    <xf numFmtId="0" fontId="5" fillId="0" borderId="0" xfId="0" applyFont="1" applyFill="1" applyBorder="1" applyAlignment="1">
      <alignment horizontal="right" vertical="center"/>
    </xf>
    <xf numFmtId="166"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indent="1"/>
    </xf>
    <xf numFmtId="0" fontId="5" fillId="0" borderId="0" xfId="0" applyFont="1" applyFill="1" applyBorder="1" applyAlignment="1">
      <alignment horizontal="center" vertical="center"/>
    </xf>
    <xf numFmtId="0" fontId="5" fillId="0" borderId="0" xfId="0" applyFont="1" applyBorder="1" applyAlignment="1">
      <alignment vertical="center" wrapText="1"/>
    </xf>
    <xf numFmtId="0" fontId="5" fillId="0" borderId="20" xfId="0" applyFont="1" applyBorder="1" applyAlignment="1">
      <alignment horizontal="left" vertical="center" indent="1"/>
    </xf>
    <xf numFmtId="0" fontId="10" fillId="0" borderId="10" xfId="0" applyFont="1" applyBorder="1" applyAlignment="1">
      <alignment horizontal="left" vertical="center"/>
    </xf>
    <xf numFmtId="4" fontId="29" fillId="0" borderId="1" xfId="0" applyNumberFormat="1" applyFont="1" applyBorder="1" applyAlignment="1">
      <alignment horizontal="center" vertical="center"/>
    </xf>
    <xf numFmtId="4" fontId="29" fillId="0" borderId="11" xfId="0" applyNumberFormat="1" applyFont="1" applyBorder="1" applyAlignment="1">
      <alignment horizontal="center" vertical="center"/>
    </xf>
    <xf numFmtId="2" fontId="29" fillId="0" borderId="1" xfId="0" applyNumberFormat="1" applyFont="1" applyBorder="1" applyAlignment="1">
      <alignment horizontal="center" vertical="center"/>
    </xf>
    <xf numFmtId="0" fontId="5" fillId="0" borderId="20" xfId="0" applyFont="1" applyBorder="1" applyAlignment="1">
      <alignment horizontal="center" vertical="center"/>
    </xf>
    <xf numFmtId="4" fontId="5" fillId="0" borderId="2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right" vertical="center"/>
    </xf>
    <xf numFmtId="0" fontId="10" fillId="0" borderId="0" xfId="0" applyFont="1" applyAlignment="1">
      <alignment horizontal="right" vertical="center"/>
    </xf>
    <xf numFmtId="0" fontId="23" fillId="0" borderId="1" xfId="0" applyFont="1" applyBorder="1" applyAlignment="1">
      <alignment horizontal="center" vertical="center"/>
    </xf>
    <xf numFmtId="3"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3" fontId="26" fillId="10" borderId="10" xfId="0" applyNumberFormat="1" applyFont="1" applyFill="1" applyBorder="1" applyAlignment="1">
      <alignment horizontal="center" vertical="center"/>
    </xf>
    <xf numFmtId="3" fontId="22" fillId="0" borderId="10" xfId="0" applyNumberFormat="1" applyFont="1" applyFill="1" applyBorder="1" applyAlignment="1">
      <alignment horizontal="center" vertical="center"/>
    </xf>
    <xf numFmtId="3" fontId="22" fillId="0" borderId="19"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xf>
    <xf numFmtId="4" fontId="5" fillId="0" borderId="0" xfId="0" applyNumberFormat="1" applyFont="1" applyFill="1" applyBorder="1" applyAlignment="1">
      <alignment horizontal="center" vertical="center"/>
    </xf>
    <xf numFmtId="4" fontId="29" fillId="0" borderId="0" xfId="0" applyNumberFormat="1" applyFont="1" applyBorder="1" applyAlignment="1">
      <alignment horizontal="center" vertical="center"/>
    </xf>
    <xf numFmtId="2" fontId="10" fillId="0" borderId="1" xfId="0" applyNumberFormat="1" applyFont="1" applyBorder="1" applyAlignment="1">
      <alignment horizontal="right" vertical="center"/>
    </xf>
    <xf numFmtId="2" fontId="5" fillId="0" borderId="10" xfId="0" applyNumberFormat="1" applyFont="1" applyBorder="1" applyAlignment="1">
      <alignment horizontal="center" vertical="center"/>
    </xf>
    <xf numFmtId="4" fontId="22" fillId="0" borderId="10" xfId="0" applyNumberFormat="1" applyFont="1" applyBorder="1" applyAlignment="1">
      <alignment horizontal="center" vertical="center"/>
    </xf>
    <xf numFmtId="0" fontId="10" fillId="0" borderId="21" xfId="0" applyFont="1" applyBorder="1" applyAlignment="1">
      <alignment horizontal="center" vertical="center" wrapText="1"/>
    </xf>
    <xf numFmtId="0" fontId="5" fillId="0" borderId="21" xfId="0" applyFont="1" applyBorder="1" applyAlignment="1">
      <alignment horizontal="center" vertical="center"/>
    </xf>
    <xf numFmtId="2" fontId="5" fillId="0" borderId="21" xfId="0" applyNumberFormat="1" applyFont="1" applyBorder="1" applyAlignment="1">
      <alignment horizontal="center" vertical="center"/>
    </xf>
    <xf numFmtId="4" fontId="22" fillId="0" borderId="21" xfId="0" applyNumberFormat="1" applyFont="1" applyBorder="1" applyAlignment="1">
      <alignment horizontal="center" vertical="center"/>
    </xf>
    <xf numFmtId="0" fontId="10" fillId="0" borderId="18" xfId="0" applyFont="1" applyBorder="1" applyAlignment="1">
      <alignment horizontal="center" vertical="center"/>
    </xf>
    <xf numFmtId="0" fontId="5" fillId="0" borderId="22" xfId="0" applyFont="1" applyBorder="1" applyAlignment="1">
      <alignment horizontal="center" vertical="center"/>
    </xf>
    <xf numFmtId="0" fontId="23" fillId="0" borderId="22" xfId="0" applyFont="1" applyBorder="1" applyAlignment="1">
      <alignment horizontal="center" vertical="center"/>
    </xf>
    <xf numFmtId="0" fontId="10" fillId="0" borderId="22" xfId="0" applyFont="1" applyBorder="1" applyAlignment="1">
      <alignment horizontal="center" vertical="center"/>
    </xf>
    <xf numFmtId="0" fontId="5" fillId="0" borderId="10" xfId="0" applyFont="1" applyBorder="1" applyAlignment="1">
      <alignment horizontal="left" vertical="center" indent="1"/>
    </xf>
    <xf numFmtId="4" fontId="5" fillId="0" borderId="1" xfId="0" applyNumberFormat="1" applyFont="1" applyBorder="1" applyAlignment="1">
      <alignment horizontal="left" vertical="center" indent="1"/>
    </xf>
    <xf numFmtId="0" fontId="23" fillId="0" borderId="23" xfId="0" applyFont="1" applyBorder="1" applyAlignment="1">
      <alignment horizontal="center" vertical="center"/>
    </xf>
    <xf numFmtId="0" fontId="10" fillId="0" borderId="23" xfId="0" applyFont="1" applyBorder="1" applyAlignment="1">
      <alignment horizontal="center" vertical="center"/>
    </xf>
    <xf numFmtId="0" fontId="23" fillId="0" borderId="18" xfId="0" applyFont="1" applyBorder="1" applyAlignment="1">
      <alignment horizontal="center" vertical="center"/>
    </xf>
    <xf numFmtId="4" fontId="5" fillId="0" borderId="23" xfId="0" applyNumberFormat="1" applyFont="1" applyBorder="1" applyAlignment="1">
      <alignment horizontal="center" vertical="center"/>
    </xf>
    <xf numFmtId="4" fontId="5" fillId="0" borderId="17" xfId="0" applyNumberFormat="1" applyFont="1" applyBorder="1" applyAlignment="1">
      <alignment horizontal="center" vertical="center"/>
    </xf>
    <xf numFmtId="3" fontId="5" fillId="0" borderId="0" xfId="0" applyNumberFormat="1" applyFont="1" applyFill="1" applyBorder="1" applyAlignment="1">
      <alignment horizontal="center" vertical="center"/>
    </xf>
    <xf numFmtId="164" fontId="5" fillId="0" borderId="22" xfId="0" applyNumberFormat="1" applyFont="1" applyBorder="1" applyAlignment="1">
      <alignment horizontal="center" vertical="center"/>
    </xf>
    <xf numFmtId="4" fontId="5" fillId="0" borderId="18" xfId="0" applyNumberFormat="1" applyFont="1" applyBorder="1" applyAlignment="1">
      <alignment horizontal="center" vertical="center"/>
    </xf>
    <xf numFmtId="4" fontId="30"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3" fillId="0" borderId="1" xfId="0" applyFont="1" applyBorder="1" applyAlignment="1">
      <alignment horizontal="center" vertical="center"/>
    </xf>
    <xf numFmtId="164" fontId="29" fillId="0" borderId="1" xfId="0" applyNumberFormat="1" applyFont="1" applyBorder="1" applyAlignment="1">
      <alignment horizontal="center" vertical="center"/>
    </xf>
    <xf numFmtId="0" fontId="23" fillId="0" borderId="0" xfId="0" applyFont="1" applyBorder="1" applyAlignment="1">
      <alignment vertical="center"/>
    </xf>
    <xf numFmtId="4" fontId="10"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12" xfId="0" applyFont="1" applyBorder="1" applyAlignment="1">
      <alignment horizontal="right" vertical="center"/>
    </xf>
    <xf numFmtId="4" fontId="22" fillId="0" borderId="11" xfId="0" applyNumberFormat="1" applyFont="1" applyFill="1" applyBorder="1" applyAlignment="1">
      <alignment horizontal="center" vertical="center"/>
    </xf>
    <xf numFmtId="2" fontId="22" fillId="0" borderId="11"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164" fontId="0" fillId="10" borderId="1" xfId="0" applyNumberFormat="1" applyFill="1" applyBorder="1" applyAlignment="1">
      <alignment horizontal="center" vertical="center"/>
    </xf>
    <xf numFmtId="2" fontId="5" fillId="0" borderId="18"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6" xfId="0"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horizontal="center" vertical="center" wrapText="1"/>
    </xf>
    <xf numFmtId="2" fontId="5" fillId="0" borderId="6" xfId="0" applyNumberFormat="1"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34" fillId="0" borderId="19" xfId="0" applyFont="1" applyBorder="1" applyAlignment="1">
      <alignment horizontal="center" vertical="center"/>
    </xf>
    <xf numFmtId="0" fontId="34" fillId="0" borderId="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0" fillId="5" borderId="0" xfId="0" applyFill="1" applyBorder="1" applyAlignment="1">
      <alignment horizontal="left" vertical="top" wrapText="1" indent="1"/>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10" fillId="0" borderId="1" xfId="0" applyFont="1" applyBorder="1" applyAlignment="1">
      <alignment horizontal="center" vertical="center"/>
    </xf>
    <xf numFmtId="0" fontId="30" fillId="0" borderId="1" xfId="0" applyFont="1" applyBorder="1" applyAlignment="1">
      <alignment horizontal="center" vertical="center"/>
    </xf>
    <xf numFmtId="166" fontId="30" fillId="0" borderId="1" xfId="0" applyNumberFormat="1" applyFont="1" applyBorder="1" applyAlignment="1">
      <alignment horizontal="center" vertical="center"/>
    </xf>
    <xf numFmtId="0" fontId="0" fillId="5" borderId="0" xfId="0" applyFill="1" applyBorder="1" applyAlignment="1">
      <alignment horizontal="left" vertical="center" indent="1"/>
    </xf>
    <xf numFmtId="0" fontId="5" fillId="0" borderId="1" xfId="0" applyFont="1" applyBorder="1" applyAlignment="1">
      <alignment horizontal="center" vertical="center"/>
    </xf>
    <xf numFmtId="2" fontId="10" fillId="10" borderId="1" xfId="0" applyNumberFormat="1" applyFont="1" applyFill="1" applyBorder="1" applyAlignment="1">
      <alignment horizontal="left" vertical="center" indent="1"/>
    </xf>
    <xf numFmtId="2" fontId="0" fillId="10" borderId="1" xfId="0" applyNumberFormat="1" applyFill="1" applyBorder="1" applyAlignment="1">
      <alignment horizontal="center" vertical="center"/>
    </xf>
    <xf numFmtId="0" fontId="10" fillId="10" borderId="1" xfId="0" applyFont="1" applyFill="1" applyBorder="1" applyAlignment="1">
      <alignment horizontal="left" vertical="center" indent="1"/>
    </xf>
    <xf numFmtId="4" fontId="26" fillId="10" borderId="16" xfId="0" applyNumberFormat="1" applyFont="1" applyFill="1" applyBorder="1" applyAlignment="1">
      <alignment horizontal="center" vertical="center"/>
    </xf>
    <xf numFmtId="164" fontId="5" fillId="0" borderId="0" xfId="0" applyNumberFormat="1" applyFont="1" applyAlignment="1">
      <alignment horizontal="center" vertical="center"/>
    </xf>
    <xf numFmtId="165"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38" fillId="0" borderId="1" xfId="0" applyFont="1" applyBorder="1" applyAlignment="1">
      <alignment horizontal="center" vertical="center"/>
    </xf>
    <xf numFmtId="0" fontId="0" fillId="5" borderId="0" xfId="0" applyFill="1" applyBorder="1" applyAlignment="1">
      <alignment horizontal="left" vertical="center" inden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20" fillId="8" borderId="0" xfId="0" applyFont="1" applyFill="1" applyBorder="1" applyAlignment="1" applyProtection="1">
      <alignment vertical="center"/>
    </xf>
    <xf numFmtId="0" fontId="20" fillId="8" borderId="0" xfId="0" applyFont="1" applyFill="1" applyBorder="1" applyAlignment="1" applyProtection="1">
      <alignment vertical="top" wrapText="1"/>
    </xf>
    <xf numFmtId="2" fontId="1" fillId="3" borderId="1" xfId="0" applyNumberFormat="1" applyFont="1" applyFill="1" applyBorder="1" applyAlignment="1" applyProtection="1">
      <alignment horizontal="center" vertical="center"/>
      <protection locked="0"/>
    </xf>
    <xf numFmtId="0" fontId="0" fillId="5" borderId="0" xfId="0" applyFill="1" applyBorder="1" applyAlignment="1">
      <alignment vertical="top" wrapText="1"/>
    </xf>
    <xf numFmtId="166" fontId="1" fillId="3" borderId="1" xfId="0" applyNumberFormat="1" applyFont="1" applyFill="1" applyBorder="1" applyAlignment="1" applyProtection="1">
      <alignment horizontal="center" vertical="center"/>
      <protection locked="0"/>
    </xf>
    <xf numFmtId="0" fontId="0" fillId="4" borderId="0" xfId="0" applyFill="1" applyBorder="1" applyAlignment="1">
      <alignment horizontal="lef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vertical="center"/>
    </xf>
    <xf numFmtId="0" fontId="5" fillId="3" borderId="0" xfId="0" applyFont="1" applyFill="1" applyBorder="1" applyAlignment="1">
      <alignment vertical="center"/>
    </xf>
    <xf numFmtId="0" fontId="5" fillId="0" borderId="0" xfId="0" applyFont="1" applyFill="1" applyBorder="1" applyAlignment="1">
      <alignment vertical="center"/>
    </xf>
    <xf numFmtId="0" fontId="5" fillId="3" borderId="0" xfId="0" applyFont="1" applyFill="1" applyAlignment="1">
      <alignment vertical="center"/>
    </xf>
    <xf numFmtId="0" fontId="5" fillId="0" borderId="0" xfId="0" applyFont="1" applyFill="1" applyAlignment="1">
      <alignment vertical="center"/>
    </xf>
    <xf numFmtId="1" fontId="5" fillId="3" borderId="0" xfId="0" applyNumberFormat="1" applyFont="1" applyFill="1" applyAlignment="1">
      <alignment vertical="center"/>
    </xf>
    <xf numFmtId="0" fontId="30" fillId="0" borderId="0" xfId="0" applyFont="1" applyFill="1" applyBorder="1" applyAlignment="1">
      <alignment horizontal="center" vertical="center"/>
    </xf>
    <xf numFmtId="1" fontId="5" fillId="0" borderId="0" xfId="0" applyNumberFormat="1"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horizontal="right" vertical="center"/>
    </xf>
    <xf numFmtId="0" fontId="5" fillId="9" borderId="1" xfId="0" applyFont="1" applyFill="1" applyBorder="1" applyAlignment="1">
      <alignment horizontal="center" vertical="center"/>
    </xf>
    <xf numFmtId="0" fontId="5" fillId="0" borderId="1" xfId="0" applyFont="1" applyFill="1" applyBorder="1" applyAlignment="1">
      <alignment horizontal="right" vertical="center"/>
    </xf>
    <xf numFmtId="168" fontId="5" fillId="0" borderId="1" xfId="0" applyNumberFormat="1" applyFont="1" applyFill="1" applyBorder="1" applyAlignment="1">
      <alignment horizontal="center" vertical="center"/>
    </xf>
    <xf numFmtId="1" fontId="5" fillId="0" borderId="0" xfId="0" applyNumberFormat="1" applyFont="1" applyFill="1" applyAlignment="1">
      <alignment horizontal="center" vertical="center"/>
    </xf>
    <xf numFmtId="0" fontId="5" fillId="0" borderId="1" xfId="0" applyFont="1" applyFill="1" applyBorder="1" applyAlignment="1">
      <alignment horizontal="center" vertical="center"/>
    </xf>
    <xf numFmtId="168" fontId="5" fillId="9" borderId="1" xfId="0" applyNumberFormat="1" applyFont="1" applyFill="1" applyBorder="1" applyAlignment="1">
      <alignment horizontal="center" vertical="center"/>
    </xf>
    <xf numFmtId="1" fontId="40" fillId="0" borderId="0" xfId="0" applyNumberFormat="1" applyFont="1" applyFill="1" applyAlignment="1">
      <alignment vertical="center"/>
    </xf>
    <xf numFmtId="0" fontId="41" fillId="0" borderId="0" xfId="0" applyFont="1" applyFill="1" applyBorder="1" applyAlignment="1">
      <alignment vertical="center"/>
    </xf>
    <xf numFmtId="168" fontId="30" fillId="1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41" fillId="0" borderId="0" xfId="0" applyFont="1" applyFill="1" applyBorder="1" applyAlignment="1">
      <alignment horizontal="right" vertical="center"/>
    </xf>
    <xf numFmtId="0" fontId="30" fillId="0" borderId="0" xfId="0" applyFont="1" applyFill="1" applyBorder="1" applyAlignment="1">
      <alignment vertical="center"/>
    </xf>
    <xf numFmtId="1" fontId="5" fillId="0" borderId="0" xfId="0" applyNumberFormat="1" applyFont="1" applyFill="1" applyBorder="1" applyAlignment="1">
      <alignment horizontal="center" vertical="center"/>
    </xf>
    <xf numFmtId="1" fontId="42" fillId="10" borderId="1" xfId="0" applyNumberFormat="1" applyFont="1" applyFill="1" applyBorder="1" applyAlignment="1">
      <alignment horizontal="center" vertical="center"/>
    </xf>
    <xf numFmtId="0" fontId="5" fillId="0" borderId="10" xfId="0" applyFont="1" applyFill="1" applyBorder="1" applyAlignment="1">
      <alignment horizontal="right" vertical="center"/>
    </xf>
    <xf numFmtId="1" fontId="5" fillId="0" borderId="0" xfId="0" applyNumberFormat="1" applyFont="1" applyFill="1" applyBorder="1" applyAlignment="1">
      <alignment vertical="center"/>
    </xf>
    <xf numFmtId="0" fontId="43" fillId="0" borderId="0" xfId="0" applyFont="1" applyFill="1" applyAlignment="1">
      <alignment vertical="center"/>
    </xf>
    <xf numFmtId="1" fontId="5" fillId="0" borderId="0" xfId="0" applyNumberFormat="1" applyFont="1" applyAlignment="1">
      <alignment vertical="center"/>
    </xf>
    <xf numFmtId="4" fontId="47" fillId="0" borderId="0" xfId="1" applyNumberFormat="1" applyFont="1" applyFill="1" applyBorder="1" applyAlignment="1" applyProtection="1">
      <alignment horizontal="left" vertical="center"/>
    </xf>
    <xf numFmtId="171" fontId="5" fillId="0" borderId="0" xfId="1" applyNumberFormat="1" applyFont="1" applyFill="1" applyBorder="1" applyAlignment="1" applyProtection="1">
      <alignment horizontal="left" vertical="center"/>
    </xf>
    <xf numFmtId="0" fontId="5" fillId="0" borderId="0" xfId="2" applyFont="1" applyFill="1" applyBorder="1" applyAlignment="1" applyProtection="1">
      <alignment horizontal="left" vertical="center"/>
    </xf>
    <xf numFmtId="171" fontId="22" fillId="0" borderId="1" xfId="1" applyNumberFormat="1" applyFont="1" applyFill="1" applyBorder="1" applyAlignment="1" applyProtection="1">
      <alignment horizontal="center" vertical="center"/>
    </xf>
    <xf numFmtId="172" fontId="22" fillId="0" borderId="1" xfId="1" applyNumberFormat="1" applyFont="1" applyFill="1" applyBorder="1" applyAlignment="1" applyProtection="1">
      <alignment horizontal="center" vertical="center"/>
    </xf>
    <xf numFmtId="4" fontId="10" fillId="10" borderId="1" xfId="0" applyNumberFormat="1" applyFont="1" applyFill="1" applyBorder="1" applyAlignment="1">
      <alignment horizontal="center" vertical="center"/>
    </xf>
    <xf numFmtId="2" fontId="0" fillId="7" borderId="0" xfId="0" applyNumberFormat="1" applyFill="1" applyBorder="1" applyAlignment="1">
      <alignment vertical="center"/>
    </xf>
    <xf numFmtId="171" fontId="10" fillId="0" borderId="1" xfId="1" applyNumberFormat="1" applyFont="1" applyFill="1" applyBorder="1" applyAlignment="1" applyProtection="1">
      <alignment horizontal="center" vertical="center" wrapText="1"/>
    </xf>
    <xf numFmtId="0" fontId="5" fillId="0" borderId="12" xfId="0" applyFont="1" applyBorder="1" applyAlignment="1">
      <alignment horizontal="right" vertical="center" indent="1"/>
    </xf>
    <xf numFmtId="0" fontId="5" fillId="0" borderId="2" xfId="0" applyFont="1" applyBorder="1" applyAlignment="1">
      <alignment horizontal="center" vertical="center"/>
    </xf>
    <xf numFmtId="0" fontId="5" fillId="0" borderId="2" xfId="0" applyFont="1" applyBorder="1" applyAlignment="1">
      <alignment horizontal="right" vertical="center" indent="1"/>
    </xf>
    <xf numFmtId="171" fontId="10" fillId="0" borderId="18" xfId="1" applyNumberFormat="1" applyFont="1" applyFill="1" applyBorder="1" applyAlignment="1" applyProtection="1">
      <alignment horizontal="center" vertical="center"/>
    </xf>
    <xf numFmtId="171" fontId="10" fillId="0" borderId="18" xfId="1" applyNumberFormat="1" applyFont="1" applyFill="1" applyBorder="1" applyAlignment="1" applyProtection="1">
      <alignment horizontal="center" vertical="center" wrapText="1"/>
    </xf>
    <xf numFmtId="3" fontId="5" fillId="9"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0" xfId="0" applyNumberFormat="1" applyFont="1" applyFill="1" applyBorder="1" applyAlignment="1">
      <alignment vertical="center"/>
    </xf>
    <xf numFmtId="0" fontId="0" fillId="10" borderId="12" xfId="0" applyFill="1" applyBorder="1" applyAlignment="1">
      <alignment horizontal="left" vertical="center"/>
    </xf>
    <xf numFmtId="0" fontId="0" fillId="10" borderId="11" xfId="0" applyFill="1" applyBorder="1" applyAlignment="1">
      <alignment horizontal="left" vertical="center"/>
    </xf>
    <xf numFmtId="0" fontId="30" fillId="0" borderId="1" xfId="0" applyFont="1" applyFill="1" applyBorder="1" applyAlignment="1">
      <alignment horizontal="center" vertical="center"/>
    </xf>
    <xf numFmtId="168" fontId="5" fillId="0" borderId="0"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10" borderId="0" xfId="0" applyFont="1" applyFill="1" applyAlignment="1">
      <alignment vertical="center"/>
    </xf>
    <xf numFmtId="0" fontId="5" fillId="10" borderId="0" xfId="0" applyFont="1" applyFill="1" applyBorder="1" applyAlignment="1">
      <alignment vertical="center"/>
    </xf>
    <xf numFmtId="0" fontId="0" fillId="3" borderId="2" xfId="0" applyFill="1" applyBorder="1" applyAlignment="1">
      <alignment vertical="center"/>
    </xf>
    <xf numFmtId="0" fontId="5" fillId="3" borderId="7" xfId="0" applyFont="1" applyFill="1" applyBorder="1" applyAlignment="1">
      <alignment vertical="center"/>
    </xf>
    <xf numFmtId="0" fontId="5" fillId="3" borderId="4" xfId="0" applyFont="1" applyFill="1" applyBorder="1" applyAlignment="1">
      <alignment vertical="center"/>
    </xf>
    <xf numFmtId="49" fontId="5" fillId="3" borderId="6" xfId="0" applyNumberFormat="1" applyFont="1" applyFill="1" applyBorder="1" applyAlignment="1">
      <alignment vertical="center"/>
    </xf>
    <xf numFmtId="0" fontId="4" fillId="3" borderId="4" xfId="0" applyFont="1" applyFill="1" applyBorder="1" applyAlignment="1">
      <alignment vertical="center"/>
    </xf>
    <xf numFmtId="0" fontId="4" fillId="3" borderId="0" xfId="0" applyFont="1" applyFill="1" applyAlignment="1">
      <alignment vertical="center"/>
    </xf>
    <xf numFmtId="0" fontId="4" fillId="3" borderId="0" xfId="0" applyFont="1" applyFill="1" applyBorder="1" applyAlignment="1">
      <alignment vertical="center"/>
    </xf>
    <xf numFmtId="0" fontId="0" fillId="3" borderId="0" xfId="0" applyFont="1" applyFill="1" applyAlignment="1">
      <alignment vertical="center"/>
    </xf>
    <xf numFmtId="0" fontId="5" fillId="0" borderId="1" xfId="0" applyFont="1" applyBorder="1" applyAlignment="1">
      <alignment horizontal="center" vertical="center"/>
    </xf>
    <xf numFmtId="10"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73" fontId="5" fillId="0" borderId="1" xfId="0" applyNumberFormat="1" applyFont="1" applyFill="1" applyBorder="1" applyAlignment="1">
      <alignment horizontal="center" vertical="center"/>
    </xf>
    <xf numFmtId="0" fontId="5" fillId="0" borderId="0" xfId="0" applyFont="1" applyFill="1" applyAlignment="1">
      <alignment horizontal="center" vertical="center" wrapText="1"/>
    </xf>
    <xf numFmtId="168" fontId="5" fillId="0" borderId="10" xfId="0" applyNumberFormat="1" applyFont="1" applyFill="1" applyBorder="1" applyAlignment="1">
      <alignment horizontal="center" vertical="center"/>
    </xf>
    <xf numFmtId="0" fontId="0" fillId="7" borderId="0" xfId="0" applyFill="1" applyBorder="1" applyAlignment="1">
      <alignment horizontal="center" vertical="center"/>
    </xf>
    <xf numFmtId="0" fontId="0" fillId="7" borderId="0" xfId="0" applyFont="1" applyFill="1" applyBorder="1" applyAlignment="1">
      <alignment horizontal="left" vertical="center"/>
    </xf>
    <xf numFmtId="0" fontId="0" fillId="7" borderId="0" xfId="0" applyFill="1" applyAlignment="1">
      <alignment vertical="center"/>
    </xf>
    <xf numFmtId="164" fontId="0" fillId="7" borderId="1" xfId="0" applyNumberFormat="1" applyFill="1" applyBorder="1" applyAlignment="1">
      <alignment horizontal="center" vertical="center"/>
    </xf>
    <xf numFmtId="164" fontId="1" fillId="3" borderId="1" xfId="0" applyNumberFormat="1" applyFont="1" applyFill="1" applyBorder="1" applyAlignment="1" applyProtection="1">
      <alignment horizontal="center" vertical="center"/>
      <protection locked="0"/>
    </xf>
    <xf numFmtId="0" fontId="0" fillId="7" borderId="0" xfId="0" applyFill="1" applyBorder="1" applyAlignment="1" applyProtection="1">
      <alignment vertical="center"/>
    </xf>
    <xf numFmtId="0" fontId="0" fillId="7" borderId="0" xfId="0" applyFill="1" applyBorder="1" applyAlignment="1" applyProtection="1">
      <alignment horizontal="center" vertical="center"/>
    </xf>
    <xf numFmtId="0" fontId="0" fillId="7" borderId="0" xfId="0" applyFill="1" applyBorder="1" applyAlignment="1" applyProtection="1">
      <alignment horizontal="left" vertical="center" indent="1"/>
    </xf>
    <xf numFmtId="166" fontId="20" fillId="7" borderId="1" xfId="0" applyNumberFormat="1" applyFont="1" applyFill="1" applyBorder="1" applyAlignment="1">
      <alignment horizontal="center" vertical="center"/>
    </xf>
    <xf numFmtId="0" fontId="20" fillId="5" borderId="1" xfId="0" applyFont="1" applyFill="1" applyBorder="1" applyAlignment="1" applyProtection="1">
      <alignment horizontal="center" vertical="center"/>
    </xf>
    <xf numFmtId="0" fontId="20" fillId="5" borderId="1" xfId="0" applyFont="1" applyFill="1" applyBorder="1" applyAlignment="1">
      <alignment horizontal="center" vertical="center"/>
    </xf>
    <xf numFmtId="166" fontId="20" fillId="5" borderId="1" xfId="0" applyNumberFormat="1" applyFont="1" applyFill="1" applyBorder="1" applyAlignment="1">
      <alignment horizontal="center" vertical="center"/>
    </xf>
    <xf numFmtId="0" fontId="0" fillId="5" borderId="0" xfId="0" applyFont="1" applyFill="1" applyBorder="1" applyAlignment="1">
      <alignment horizontal="right" vertical="center" indent="1"/>
    </xf>
    <xf numFmtId="0" fontId="0" fillId="5" borderId="0" xfId="0" applyFont="1" applyFill="1" applyBorder="1" applyAlignment="1">
      <alignment horizontal="left" vertical="center"/>
    </xf>
    <xf numFmtId="0" fontId="0" fillId="5" borderId="0" xfId="0" applyFont="1" applyFill="1" applyBorder="1" applyAlignment="1">
      <alignment vertical="center"/>
    </xf>
    <xf numFmtId="0" fontId="0" fillId="5" borderId="0" xfId="0" applyFont="1" applyFill="1" applyBorder="1" applyAlignment="1">
      <alignment horizontal="left" vertical="center" indent="1"/>
    </xf>
    <xf numFmtId="164" fontId="20" fillId="7" borderId="1" xfId="0" applyNumberFormat="1" applyFont="1" applyFill="1" applyBorder="1" applyAlignment="1" applyProtection="1">
      <alignment horizontal="center" vertical="center"/>
    </xf>
    <xf numFmtId="164" fontId="20" fillId="6" borderId="1" xfId="0" applyNumberFormat="1" applyFont="1" applyFill="1" applyBorder="1" applyAlignment="1">
      <alignment horizontal="center" vertical="center"/>
    </xf>
    <xf numFmtId="0" fontId="5" fillId="10" borderId="0" xfId="0" applyFont="1" applyFill="1" applyAlignment="1">
      <alignment horizontal="center" vertical="center"/>
    </xf>
    <xf numFmtId="0" fontId="5" fillId="0" borderId="0" xfId="0" applyFont="1" applyFill="1" applyAlignment="1">
      <alignment horizontal="right" vertical="center" indent="1"/>
    </xf>
    <xf numFmtId="0" fontId="5" fillId="0" borderId="0" xfId="0" applyFont="1" applyFill="1" applyAlignment="1">
      <alignment horizontal="right" vertical="center" wrapText="1" indent="1"/>
    </xf>
    <xf numFmtId="0" fontId="50" fillId="7" borderId="0" xfId="0" applyFont="1" applyFill="1" applyBorder="1" applyAlignment="1">
      <alignment vertical="center"/>
    </xf>
    <xf numFmtId="0" fontId="30" fillId="3" borderId="0" xfId="0" applyFont="1" applyFill="1" applyAlignment="1">
      <alignment vertical="center"/>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center" vertical="center"/>
    </xf>
    <xf numFmtId="3" fontId="30" fillId="3" borderId="1" xfId="0" applyNumberFormat="1" applyFont="1" applyFill="1" applyBorder="1" applyAlignment="1">
      <alignment horizontal="center" vertical="center"/>
    </xf>
    <xf numFmtId="3" fontId="5" fillId="3" borderId="11" xfId="0" applyNumberFormat="1" applyFont="1" applyFill="1" applyBorder="1" applyAlignment="1">
      <alignment horizontal="center" vertical="center"/>
    </xf>
    <xf numFmtId="3" fontId="30" fillId="3" borderId="11" xfId="0" applyNumberFormat="1" applyFont="1" applyFill="1" applyBorder="1" applyAlignment="1">
      <alignment horizontal="center" vertical="center"/>
    </xf>
    <xf numFmtId="0" fontId="5" fillId="10" borderId="0" xfId="0" applyFont="1" applyFill="1" applyAlignment="1">
      <alignment horizontal="right" vertical="center"/>
    </xf>
    <xf numFmtId="0" fontId="5" fillId="10" borderId="1" xfId="0" applyFont="1" applyFill="1" applyBorder="1" applyAlignment="1">
      <alignment horizontal="center" vertical="center"/>
    </xf>
    <xf numFmtId="49" fontId="30" fillId="10" borderId="0" xfId="0" applyNumberFormat="1" applyFont="1" applyFill="1" applyBorder="1" applyAlignment="1">
      <alignment vertical="center"/>
    </xf>
    <xf numFmtId="0" fontId="30" fillId="10" borderId="0" xfId="0" applyFont="1" applyFill="1" applyBorder="1" applyAlignment="1">
      <alignment vertical="center"/>
    </xf>
    <xf numFmtId="3" fontId="30" fillId="10" borderId="1" xfId="0" applyNumberFormat="1" applyFont="1" applyFill="1" applyBorder="1" applyAlignment="1">
      <alignment horizontal="center" vertical="center"/>
    </xf>
    <xf numFmtId="0" fontId="5" fillId="10" borderId="0" xfId="0" applyFont="1" applyFill="1" applyBorder="1" applyAlignment="1">
      <alignment horizontal="center" vertical="center"/>
    </xf>
    <xf numFmtId="0" fontId="51" fillId="10" borderId="0" xfId="0" applyFont="1" applyFill="1" applyBorder="1" applyAlignment="1">
      <alignment horizontal="left" vertical="center"/>
    </xf>
    <xf numFmtId="2" fontId="30" fillId="3" borderId="1" xfId="0" applyNumberFormat="1" applyFont="1" applyFill="1" applyBorder="1" applyAlignment="1">
      <alignment horizontal="center" vertical="center"/>
    </xf>
    <xf numFmtId="4" fontId="5" fillId="3" borderId="18" xfId="0" applyNumberFormat="1" applyFont="1" applyFill="1" applyBorder="1" applyAlignment="1">
      <alignment horizontal="center" vertical="center"/>
    </xf>
    <xf numFmtId="3" fontId="22" fillId="3" borderId="5" xfId="0" applyNumberFormat="1" applyFont="1" applyFill="1" applyBorder="1" applyAlignment="1">
      <alignment horizontal="center" vertical="center"/>
    </xf>
    <xf numFmtId="3" fontId="5" fillId="3" borderId="9" xfId="0" applyNumberFormat="1" applyFont="1" applyFill="1" applyBorder="1" applyAlignment="1">
      <alignment horizontal="center" vertical="center"/>
    </xf>
    <xf numFmtId="3" fontId="30" fillId="3" borderId="5" xfId="0" applyNumberFormat="1" applyFont="1" applyFill="1" applyBorder="1" applyAlignment="1">
      <alignment horizontal="center" vertical="center"/>
    </xf>
    <xf numFmtId="4" fontId="5" fillId="3" borderId="9" xfId="0" applyNumberFormat="1" applyFont="1" applyFill="1" applyBorder="1" applyAlignment="1">
      <alignment horizontal="center" vertical="center"/>
    </xf>
    <xf numFmtId="3" fontId="42" fillId="3" borderId="11" xfId="0" applyNumberFormat="1" applyFont="1" applyFill="1" applyBorder="1" applyAlignment="1">
      <alignment horizontal="center" vertical="center"/>
    </xf>
    <xf numFmtId="1" fontId="0" fillId="10" borderId="10" xfId="0" applyNumberFormat="1" applyFill="1" applyBorder="1" applyAlignment="1">
      <alignment horizontal="center" vertical="center"/>
    </xf>
    <xf numFmtId="0" fontId="5" fillId="3" borderId="15" xfId="0" applyFont="1" applyFill="1" applyBorder="1" applyAlignment="1">
      <alignment vertical="center"/>
    </xf>
    <xf numFmtId="49" fontId="5" fillId="3" borderId="15" xfId="0" applyNumberFormat="1" applyFont="1" applyFill="1" applyBorder="1" applyAlignment="1">
      <alignment vertical="center"/>
    </xf>
    <xf numFmtId="0" fontId="0" fillId="10" borderId="1" xfId="0" applyFill="1" applyBorder="1" applyAlignment="1" applyProtection="1">
      <alignment vertical="center"/>
      <protection locked="0"/>
    </xf>
    <xf numFmtId="0" fontId="0" fillId="9" borderId="3" xfId="0" applyFill="1" applyBorder="1" applyAlignment="1">
      <alignment vertical="center"/>
    </xf>
    <xf numFmtId="0" fontId="3" fillId="9" borderId="4" xfId="0" applyFont="1" applyFill="1" applyBorder="1" applyAlignment="1"/>
    <xf numFmtId="0" fontId="0" fillId="9" borderId="4" xfId="0" applyFill="1" applyBorder="1" applyAlignment="1">
      <alignment vertical="center"/>
    </xf>
    <xf numFmtId="0" fontId="0" fillId="9" borderId="5" xfId="0" applyFill="1" applyBorder="1" applyAlignment="1">
      <alignment vertical="center"/>
    </xf>
    <xf numFmtId="0" fontId="0" fillId="9" borderId="6" xfId="0" applyFill="1" applyBorder="1" applyAlignment="1">
      <alignment vertical="center"/>
    </xf>
    <xf numFmtId="0" fontId="3" fillId="9" borderId="0" xfId="0" applyFont="1" applyFill="1" applyBorder="1" applyAlignment="1"/>
    <xf numFmtId="0" fontId="0" fillId="9" borderId="0" xfId="0" applyFill="1" applyBorder="1" applyAlignment="1">
      <alignment vertical="center"/>
    </xf>
    <xf numFmtId="0" fontId="0" fillId="9" borderId="7" xfId="0" applyFill="1" applyBorder="1" applyAlignment="1">
      <alignment vertical="center"/>
    </xf>
    <xf numFmtId="0" fontId="0" fillId="9" borderId="0" xfId="0" applyFill="1" applyBorder="1" applyAlignment="1">
      <alignment horizontal="left" vertical="center" indent="1"/>
    </xf>
    <xf numFmtId="0" fontId="0" fillId="9" borderId="8" xfId="0" applyFill="1" applyBorder="1" applyAlignment="1">
      <alignment vertical="center"/>
    </xf>
    <xf numFmtId="0" fontId="0" fillId="9" borderId="2" xfId="0" applyFill="1" applyBorder="1" applyAlignment="1">
      <alignment vertical="center"/>
    </xf>
    <xf numFmtId="0" fontId="0" fillId="9" borderId="9" xfId="0" applyFill="1" applyBorder="1" applyAlignment="1">
      <alignment vertical="center"/>
    </xf>
    <xf numFmtId="0" fontId="6" fillId="9" borderId="0" xfId="0" applyFont="1" applyFill="1" applyBorder="1" applyAlignment="1">
      <alignment vertical="center"/>
    </xf>
    <xf numFmtId="0" fontId="0" fillId="9" borderId="0" xfId="0" applyFill="1" applyBorder="1" applyAlignment="1">
      <alignment horizontal="right" vertical="center" indent="1"/>
    </xf>
    <xf numFmtId="0" fontId="5" fillId="0" borderId="16" xfId="0" applyFont="1" applyBorder="1" applyAlignment="1">
      <alignment horizontal="center" vertical="center"/>
    </xf>
    <xf numFmtId="3" fontId="5" fillId="0" borderId="11" xfId="0" applyNumberFormat="1" applyFont="1" applyBorder="1" applyAlignment="1">
      <alignment horizontal="center" vertical="center"/>
    </xf>
    <xf numFmtId="0" fontId="5" fillId="0" borderId="0"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12" xfId="0" applyFont="1" applyBorder="1" applyAlignment="1">
      <alignment horizontal="right" vertical="center"/>
    </xf>
    <xf numFmtId="0" fontId="5" fillId="0" borderId="2" xfId="0" applyFont="1" applyBorder="1" applyAlignment="1">
      <alignment horizontal="right" vertical="center"/>
    </xf>
    <xf numFmtId="0" fontId="52" fillId="9" borderId="12" xfId="0" applyFont="1" applyFill="1" applyBorder="1" applyAlignment="1">
      <alignment vertical="center"/>
    </xf>
    <xf numFmtId="0" fontId="52" fillId="9" borderId="12" xfId="0" applyFont="1" applyFill="1" applyBorder="1" applyAlignment="1">
      <alignment horizontal="center" vertical="center"/>
    </xf>
    <xf numFmtId="0" fontId="52" fillId="9" borderId="11" xfId="0" applyFont="1" applyFill="1" applyBorder="1" applyAlignment="1">
      <alignment horizontal="right" vertical="center"/>
    </xf>
    <xf numFmtId="0" fontId="5" fillId="0" borderId="12" xfId="0" applyFont="1" applyBorder="1" applyAlignment="1">
      <alignment horizontal="center" vertical="center"/>
    </xf>
    <xf numFmtId="0" fontId="5" fillId="0" borderId="10" xfId="0" applyFont="1" applyFill="1" applyBorder="1" applyAlignment="1">
      <alignment horizontal="right" vertical="center" indent="1"/>
    </xf>
    <xf numFmtId="0" fontId="5" fillId="0" borderId="12" xfId="0" applyFont="1" applyFill="1" applyBorder="1" applyAlignment="1">
      <alignment horizontal="right" vertical="center" indent="1"/>
    </xf>
    <xf numFmtId="0" fontId="5" fillId="0" borderId="11" xfId="0" applyFont="1" applyFill="1" applyBorder="1" applyAlignment="1">
      <alignment horizontal="right" vertical="center" indent="1"/>
    </xf>
    <xf numFmtId="171" fontId="22" fillId="10" borderId="1" xfId="1" applyNumberFormat="1" applyFont="1" applyFill="1" applyBorder="1" applyAlignment="1" applyProtection="1">
      <alignment horizontal="center" vertical="center"/>
    </xf>
    <xf numFmtId="172" fontId="22" fillId="10" borderId="1" xfId="1" applyNumberFormat="1" applyFont="1" applyFill="1" applyBorder="1" applyAlignment="1" applyProtection="1">
      <alignment horizontal="center" vertical="center"/>
    </xf>
    <xf numFmtId="168" fontId="5" fillId="10" borderId="1" xfId="0" applyNumberFormat="1" applyFont="1" applyFill="1" applyBorder="1" applyAlignment="1">
      <alignment horizontal="center" vertical="center"/>
    </xf>
    <xf numFmtId="168" fontId="5" fillId="0" borderId="1" xfId="0" quotePrefix="1" applyNumberFormat="1" applyFont="1" applyFill="1" applyBorder="1" applyAlignment="1">
      <alignment horizontal="center" vertical="center"/>
    </xf>
    <xf numFmtId="10" fontId="10" fillId="10" borderId="1" xfId="0" applyNumberFormat="1" applyFont="1" applyFill="1" applyBorder="1" applyAlignment="1">
      <alignment horizontal="center" vertical="center"/>
    </xf>
    <xf numFmtId="3" fontId="0" fillId="10" borderId="1" xfId="0" applyNumberFormat="1" applyFill="1" applyBorder="1" applyAlignment="1">
      <alignment horizontal="center" vertical="center"/>
    </xf>
    <xf numFmtId="174"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1" fontId="5" fillId="0" borderId="0" xfId="0" applyNumberFormat="1" applyFont="1" applyBorder="1" applyAlignment="1">
      <alignment vertical="center"/>
    </xf>
    <xf numFmtId="1" fontId="5" fillId="0" borderId="0" xfId="0" applyNumberFormat="1" applyFont="1" applyBorder="1" applyAlignment="1">
      <alignment horizontal="right" vertical="center"/>
    </xf>
    <xf numFmtId="0" fontId="26" fillId="9" borderId="2" xfId="0" applyFont="1" applyFill="1" applyBorder="1" applyAlignment="1">
      <alignment horizontal="center" vertical="center" wrapText="1"/>
    </xf>
    <xf numFmtId="0" fontId="5" fillId="0" borderId="12" xfId="0" applyFont="1" applyBorder="1" applyAlignment="1">
      <alignment vertical="center" wrapText="1"/>
    </xf>
    <xf numFmtId="0" fontId="26" fillId="9" borderId="10" xfId="0" applyFont="1" applyFill="1" applyBorder="1" applyAlignment="1">
      <alignment horizontal="center" vertical="center" wrapText="1"/>
    </xf>
    <xf numFmtId="0" fontId="50" fillId="9" borderId="0" xfId="0" applyFont="1" applyFill="1" applyBorder="1" applyAlignment="1">
      <alignment vertical="center"/>
    </xf>
    <xf numFmtId="0" fontId="16" fillId="3" borderId="0" xfId="0" applyFont="1" applyFill="1" applyAlignment="1">
      <alignment horizontal="center" vertical="center"/>
    </xf>
    <xf numFmtId="165" fontId="1" fillId="3" borderId="1" xfId="0" applyNumberFormat="1" applyFont="1" applyFill="1" applyBorder="1" applyAlignment="1" applyProtection="1">
      <alignment horizontal="center" vertical="center"/>
      <protection locked="0"/>
    </xf>
    <xf numFmtId="1" fontId="0" fillId="10" borderId="1" xfId="0" applyNumberFormat="1" applyFill="1" applyBorder="1" applyAlignment="1">
      <alignment horizontal="center" vertical="center"/>
    </xf>
    <xf numFmtId="1" fontId="0" fillId="6" borderId="0" xfId="0" applyNumberFormat="1" applyFill="1" applyBorder="1" applyAlignment="1">
      <alignment vertical="center"/>
    </xf>
    <xf numFmtId="1" fontId="0" fillId="6" borderId="0" xfId="0" applyNumberFormat="1" applyFill="1" applyBorder="1" applyAlignment="1">
      <alignment horizontal="center" vertical="center"/>
    </xf>
    <xf numFmtId="1" fontId="1" fillId="3" borderId="1" xfId="0" applyNumberFormat="1" applyFont="1" applyFill="1" applyBorder="1" applyAlignment="1" applyProtection="1">
      <alignment horizontal="center" vertical="center"/>
      <protection locked="0"/>
    </xf>
    <xf numFmtId="0" fontId="0" fillId="10" borderId="10" xfId="0" applyFill="1" applyBorder="1" applyProtection="1">
      <protection locked="0"/>
    </xf>
    <xf numFmtId="0" fontId="0" fillId="10" borderId="12" xfId="0" applyFill="1" applyBorder="1" applyAlignment="1" applyProtection="1">
      <alignment vertical="center"/>
      <protection locked="0"/>
    </xf>
    <xf numFmtId="0" fontId="0" fillId="10" borderId="11" xfId="0" applyFill="1" applyBorder="1" applyAlignment="1" applyProtection="1">
      <alignment vertical="center"/>
      <protection locked="0"/>
    </xf>
    <xf numFmtId="0" fontId="0" fillId="10" borderId="11" xfId="0" applyFill="1" applyBorder="1" applyAlignment="1" applyProtection="1">
      <alignment horizontal="center" vertical="center"/>
      <protection locked="0"/>
    </xf>
    <xf numFmtId="0" fontId="0" fillId="10" borderId="18" xfId="0" applyFill="1" applyBorder="1" applyAlignment="1" applyProtection="1">
      <alignment horizontal="center" vertical="center"/>
      <protection locked="0"/>
    </xf>
    <xf numFmtId="0" fontId="0" fillId="10" borderId="2" xfId="0" applyFill="1" applyBorder="1" applyAlignment="1" applyProtection="1">
      <alignment vertical="center"/>
      <protection locked="0"/>
    </xf>
    <xf numFmtId="0" fontId="0" fillId="10" borderId="1" xfId="0" applyFill="1" applyBorder="1" applyAlignment="1" applyProtection="1">
      <alignment horizontal="center" vertical="center"/>
      <protection locked="0"/>
    </xf>
    <xf numFmtId="0" fontId="0" fillId="10" borderId="10" xfId="0" applyFill="1" applyBorder="1" applyAlignment="1" applyProtection="1">
      <alignment vertical="center"/>
      <protection locked="0"/>
    </xf>
    <xf numFmtId="0" fontId="0" fillId="10" borderId="3" xfId="0" applyFill="1" applyBorder="1" applyAlignment="1" applyProtection="1">
      <alignment vertical="center"/>
      <protection locked="0"/>
    </xf>
    <xf numFmtId="0" fontId="0" fillId="10" borderId="16" xfId="0" applyFill="1" applyBorder="1" applyAlignment="1" applyProtection="1">
      <alignment vertical="center"/>
      <protection locked="0"/>
    </xf>
    <xf numFmtId="0" fontId="0" fillId="10" borderId="10" xfId="0" applyFill="1" applyBorder="1" applyAlignment="1" applyProtection="1">
      <alignment horizontal="center" vertical="center"/>
      <protection locked="0"/>
    </xf>
    <xf numFmtId="0" fontId="0" fillId="10" borderId="9" xfId="0" applyFill="1" applyBorder="1" applyAlignment="1" applyProtection="1">
      <alignment vertical="center"/>
      <protection locked="0"/>
    </xf>
    <xf numFmtId="3" fontId="1" fillId="3" borderId="1" xfId="0" applyNumberFormat="1" applyFont="1" applyFill="1" applyBorder="1" applyAlignment="1" applyProtection="1">
      <alignment horizontal="center" vertical="center"/>
      <protection locked="0"/>
    </xf>
    <xf numFmtId="3" fontId="26" fillId="3" borderId="27" xfId="0" applyNumberFormat="1" applyFont="1" applyFill="1" applyBorder="1" applyAlignment="1" applyProtection="1">
      <alignment horizontal="center" vertical="center"/>
      <protection locked="0"/>
    </xf>
    <xf numFmtId="3" fontId="26" fillId="3" borderId="26" xfId="0" applyNumberFormat="1"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10" borderId="1" xfId="0" applyFont="1" applyFill="1" applyBorder="1" applyAlignment="1" applyProtection="1">
      <alignment vertical="center" wrapText="1"/>
    </xf>
    <xf numFmtId="0" fontId="5" fillId="10" borderId="1" xfId="0" applyFont="1" applyFill="1" applyBorder="1" applyAlignment="1" applyProtection="1">
      <alignment vertical="center" wrapText="1"/>
      <protection locked="0"/>
    </xf>
    <xf numFmtId="0" fontId="5" fillId="0" borderId="0" xfId="0" applyFont="1" applyAlignment="1" applyProtection="1">
      <alignment vertical="center" wrapText="1"/>
    </xf>
    <xf numFmtId="0" fontId="53" fillId="3" borderId="0" xfId="0" applyFont="1" applyFill="1" applyAlignment="1">
      <alignment horizontal="center" vertical="center"/>
    </xf>
    <xf numFmtId="0" fontId="22" fillId="10" borderId="1" xfId="0" applyFont="1" applyFill="1" applyBorder="1" applyAlignment="1" applyProtection="1">
      <alignment vertical="center" wrapText="1"/>
    </xf>
    <xf numFmtId="0" fontId="52" fillId="10" borderId="1" xfId="0" applyFont="1" applyFill="1" applyBorder="1" applyAlignment="1" applyProtection="1">
      <alignment horizontal="center" vertical="center" wrapText="1"/>
      <protection locked="0"/>
    </xf>
    <xf numFmtId="0" fontId="0" fillId="6" borderId="0" xfId="0" applyFill="1" applyBorder="1" applyAlignment="1">
      <alignment horizontal="center" vertical="center"/>
    </xf>
    <xf numFmtId="0" fontId="42" fillId="10" borderId="1" xfId="0" applyFont="1" applyFill="1" applyBorder="1" applyAlignment="1" applyProtection="1">
      <alignment horizontal="center" vertical="center" wrapText="1"/>
      <protection locked="0"/>
    </xf>
    <xf numFmtId="0" fontId="5" fillId="10" borderId="1" xfId="0" quotePrefix="1" applyFont="1" applyFill="1" applyBorder="1" applyAlignment="1" applyProtection="1">
      <alignment vertical="center" wrapText="1"/>
      <protection locked="0"/>
    </xf>
    <xf numFmtId="0" fontId="0" fillId="6" borderId="0" xfId="0" applyFill="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Alignment="1">
      <alignment vertical="center"/>
    </xf>
    <xf numFmtId="0" fontId="0" fillId="10" borderId="8" xfId="0" applyFill="1" applyBorder="1" applyAlignment="1" applyProtection="1">
      <alignment horizontal="center" vertical="center"/>
      <protection locked="0"/>
    </xf>
    <xf numFmtId="164" fontId="20" fillId="10" borderId="1" xfId="0" applyNumberFormat="1" applyFont="1" applyFill="1" applyBorder="1" applyAlignment="1">
      <alignment horizontal="center" vertical="center"/>
    </xf>
    <xf numFmtId="0" fontId="5" fillId="0" borderId="11" xfId="0" applyFont="1" applyBorder="1" applyAlignment="1">
      <alignment horizontal="center" vertical="center"/>
    </xf>
    <xf numFmtId="0" fontId="4" fillId="0" borderId="0" xfId="0" applyFont="1" applyBorder="1" applyAlignment="1">
      <alignment horizontal="center" vertical="center"/>
    </xf>
    <xf numFmtId="0" fontId="33" fillId="0" borderId="0" xfId="0" applyFont="1" applyBorder="1" applyAlignment="1">
      <alignment horizontal="center" vertical="center"/>
    </xf>
    <xf numFmtId="166" fontId="5" fillId="0" borderId="0" xfId="0" applyNumberFormat="1" applyFont="1" applyBorder="1" applyAlignment="1">
      <alignment horizontal="center" vertical="center"/>
    </xf>
    <xf numFmtId="0" fontId="10" fillId="0" borderId="11" xfId="0" applyFont="1" applyBorder="1" applyAlignment="1">
      <alignment horizontal="right" vertical="center" indent="1"/>
    </xf>
    <xf numFmtId="0" fontId="5" fillId="0" borderId="10" xfId="0" applyFont="1" applyBorder="1" applyAlignment="1">
      <alignment horizontal="left" vertical="center"/>
    </xf>
    <xf numFmtId="1" fontId="33"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4" fontId="4" fillId="0" borderId="0" xfId="0" applyNumberFormat="1" applyFont="1" applyBorder="1" applyAlignment="1">
      <alignment horizontal="center" vertical="center"/>
    </xf>
    <xf numFmtId="4" fontId="33" fillId="0" borderId="0" xfId="0" applyNumberFormat="1" applyFont="1" applyBorder="1" applyAlignment="1">
      <alignment horizontal="center" vertical="center"/>
    </xf>
    <xf numFmtId="4" fontId="4" fillId="0" borderId="1" xfId="0" applyNumberFormat="1" applyFont="1" applyBorder="1" applyAlignment="1">
      <alignment horizontal="center" vertical="center"/>
    </xf>
    <xf numFmtId="1" fontId="20" fillId="3" borderId="1" xfId="0" applyNumberFormat="1" applyFont="1" applyFill="1" applyBorder="1" applyAlignment="1" applyProtection="1">
      <alignment horizontal="center" vertical="center"/>
    </xf>
    <xf numFmtId="0" fontId="10" fillId="0" borderId="1" xfId="0" applyFont="1" applyBorder="1" applyAlignment="1">
      <alignment horizontal="left" vertical="center"/>
    </xf>
    <xf numFmtId="4" fontId="5" fillId="0" borderId="22" xfId="0" applyNumberFormat="1" applyFont="1" applyBorder="1" applyAlignment="1">
      <alignment horizontal="center" vertical="center"/>
    </xf>
    <xf numFmtId="4" fontId="4" fillId="0" borderId="22" xfId="0" applyNumberFormat="1" applyFont="1" applyBorder="1" applyAlignment="1">
      <alignment horizontal="center" vertical="center"/>
    </xf>
    <xf numFmtId="4" fontId="10" fillId="0" borderId="22" xfId="0" applyNumberFormat="1" applyFont="1" applyBorder="1" applyAlignment="1">
      <alignment horizontal="center" vertical="center"/>
    </xf>
    <xf numFmtId="4" fontId="10" fillId="0" borderId="1" xfId="0" applyNumberFormat="1" applyFont="1" applyBorder="1" applyAlignment="1">
      <alignment horizontal="center" vertical="center"/>
    </xf>
    <xf numFmtId="4" fontId="10" fillId="0" borderId="18" xfId="0" applyNumberFormat="1" applyFont="1" applyBorder="1" applyAlignment="1">
      <alignment horizontal="center" vertical="center"/>
    </xf>
    <xf numFmtId="4" fontId="30" fillId="0" borderId="0" xfId="0" applyNumberFormat="1" applyFont="1" applyBorder="1" applyAlignment="1">
      <alignment horizontal="center" vertical="center"/>
    </xf>
    <xf numFmtId="0" fontId="31" fillId="0" borderId="0" xfId="0" applyFont="1" applyBorder="1" applyAlignment="1">
      <alignment horizontal="center" vertical="center"/>
    </xf>
    <xf numFmtId="164" fontId="10" fillId="0" borderId="1" xfId="0" applyNumberFormat="1" applyFont="1" applyBorder="1" applyAlignment="1">
      <alignment horizontal="center" vertical="center"/>
    </xf>
    <xf numFmtId="4" fontId="30" fillId="0" borderId="18" xfId="0" applyNumberFormat="1" applyFont="1" applyBorder="1" applyAlignment="1">
      <alignment horizontal="center" vertical="center"/>
    </xf>
    <xf numFmtId="4" fontId="31" fillId="0" borderId="18" xfId="0" applyNumberFormat="1" applyFont="1" applyBorder="1" applyAlignment="1">
      <alignment horizontal="center" vertical="center"/>
    </xf>
    <xf numFmtId="4" fontId="33" fillId="0" borderId="18" xfId="0" applyNumberFormat="1" applyFont="1" applyBorder="1" applyAlignment="1">
      <alignment horizontal="center" vertical="center"/>
    </xf>
    <xf numFmtId="0" fontId="4" fillId="3" borderId="0" xfId="0" applyFont="1" applyFill="1" applyAlignment="1">
      <alignmen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0" fillId="0" borderId="10" xfId="0" applyFont="1" applyFill="1" applyBorder="1" applyAlignment="1">
      <alignment horizontal="left" vertical="center"/>
    </xf>
    <xf numFmtId="0" fontId="10" fillId="0" borderId="1" xfId="0" applyFont="1" applyBorder="1" applyAlignment="1">
      <alignment horizontal="center" vertical="center"/>
    </xf>
    <xf numFmtId="2" fontId="5" fillId="0" borderId="0" xfId="0" applyNumberFormat="1" applyFont="1" applyAlignment="1">
      <alignment horizontal="center" vertical="center"/>
    </xf>
    <xf numFmtId="0" fontId="5" fillId="0" borderId="19" xfId="0" applyFont="1" applyBorder="1" applyAlignment="1">
      <alignment horizontal="center" vertical="center"/>
    </xf>
    <xf numFmtId="0" fontId="29" fillId="0" borderId="1" xfId="0" applyFont="1" applyBorder="1" applyAlignment="1">
      <alignment horizontal="center" vertical="center"/>
    </xf>
    <xf numFmtId="4" fontId="5" fillId="0" borderId="10" xfId="0" applyNumberFormat="1" applyFont="1" applyBorder="1" applyAlignment="1">
      <alignment horizontal="center" vertical="center"/>
    </xf>
    <xf numFmtId="4" fontId="5" fillId="0" borderId="29" xfId="0" applyNumberFormat="1" applyFont="1" applyBorder="1" applyAlignment="1">
      <alignment horizontal="center" vertical="center"/>
    </xf>
    <xf numFmtId="4" fontId="29" fillId="0" borderId="12" xfId="0" applyNumberFormat="1" applyFont="1" applyBorder="1" applyAlignment="1">
      <alignment horizontal="center" vertical="center"/>
    </xf>
    <xf numFmtId="4" fontId="29" fillId="0" borderId="10" xfId="0" applyNumberFormat="1" applyFont="1" applyBorder="1" applyAlignment="1">
      <alignment horizontal="center" vertical="center"/>
    </xf>
    <xf numFmtId="0" fontId="5" fillId="0" borderId="30" xfId="0" applyFont="1" applyBorder="1" applyAlignment="1">
      <alignment horizontal="center" vertical="center"/>
    </xf>
    <xf numFmtId="4" fontId="5" fillId="0" borderId="31" xfId="0" applyNumberFormat="1" applyFont="1" applyBorder="1" applyAlignment="1">
      <alignment horizontal="center" vertical="center"/>
    </xf>
    <xf numFmtId="4" fontId="5" fillId="0" borderId="32" xfId="0" applyNumberFormat="1" applyFont="1" applyBorder="1" applyAlignment="1">
      <alignment horizontal="center" vertical="center"/>
    </xf>
    <xf numFmtId="4" fontId="22" fillId="0" borderId="33" xfId="0" applyNumberFormat="1" applyFont="1" applyBorder="1" applyAlignment="1">
      <alignment horizontal="center" vertical="center"/>
    </xf>
    <xf numFmtId="0" fontId="55" fillId="0" borderId="1" xfId="0" applyFont="1" applyBorder="1" applyAlignment="1">
      <alignment horizontal="center" vertical="center" wrapText="1"/>
    </xf>
    <xf numFmtId="0" fontId="44" fillId="0" borderId="0" xfId="0" applyFont="1" applyFill="1" applyAlignment="1">
      <alignment vertical="center"/>
    </xf>
    <xf numFmtId="0" fontId="5" fillId="0" borderId="17" xfId="0" applyFont="1" applyFill="1" applyBorder="1" applyAlignment="1">
      <alignment horizontal="right" vertical="center"/>
    </xf>
    <xf numFmtId="0" fontId="57" fillId="10" borderId="1" xfId="0" applyFont="1" applyFill="1" applyBorder="1" applyAlignment="1">
      <alignment horizontal="center" vertical="center" wrapText="1"/>
    </xf>
    <xf numFmtId="0" fontId="4" fillId="0" borderId="1" xfId="0" applyFont="1" applyFill="1" applyBorder="1" applyAlignment="1">
      <alignment horizontal="center" vertical="center"/>
    </xf>
    <xf numFmtId="174" fontId="4" fillId="0" borderId="1"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3" fontId="4" fillId="3" borderId="0" xfId="0" applyNumberFormat="1" applyFont="1" applyFill="1" applyBorder="1" applyAlignment="1">
      <alignment horizontal="center" vertical="center"/>
    </xf>
    <xf numFmtId="0" fontId="5" fillId="0" borderId="10" xfId="0" applyFont="1" applyFill="1" applyBorder="1" applyAlignment="1" applyProtection="1">
      <alignment horizontal="left" vertical="center"/>
    </xf>
    <xf numFmtId="0" fontId="5" fillId="0" borderId="12" xfId="0" applyFont="1" applyFill="1" applyBorder="1" applyAlignment="1" applyProtection="1">
      <alignment vertical="center"/>
    </xf>
    <xf numFmtId="0" fontId="5" fillId="0" borderId="12" xfId="0" applyFont="1" applyFill="1" applyBorder="1" applyAlignment="1" applyProtection="1">
      <alignment horizontal="right" vertical="center" indent="1"/>
    </xf>
    <xf numFmtId="4" fontId="22" fillId="9" borderId="1" xfId="0" applyNumberFormat="1" applyFont="1" applyFill="1" applyBorder="1" applyAlignment="1" applyProtection="1">
      <alignment horizontal="center" vertical="center"/>
    </xf>
    <xf numFmtId="0" fontId="5" fillId="0" borderId="0" xfId="0" applyFont="1" applyFill="1" applyAlignment="1" applyProtection="1">
      <alignment horizontal="left" vertical="center"/>
    </xf>
    <xf numFmtId="0" fontId="30" fillId="0" borderId="12" xfId="0" applyFont="1" applyFill="1" applyBorder="1" applyAlignment="1" applyProtection="1">
      <alignment horizontal="right" vertical="center" indent="1"/>
    </xf>
    <xf numFmtId="4" fontId="30" fillId="9" borderId="1" xfId="0" applyNumberFormat="1" applyFont="1" applyFill="1" applyBorder="1" applyAlignment="1" applyProtection="1">
      <alignment horizontal="center" vertical="center"/>
    </xf>
    <xf numFmtId="0" fontId="5" fillId="0" borderId="10" xfId="0" applyFont="1" applyFill="1" applyBorder="1" applyAlignment="1" applyProtection="1">
      <alignment vertical="center"/>
    </xf>
    <xf numFmtId="0" fontId="5"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22" fillId="0" borderId="1" xfId="0" applyFont="1" applyFill="1" applyBorder="1" applyAlignment="1" applyProtection="1">
      <alignment horizontal="right" vertical="center" indent="1"/>
    </xf>
    <xf numFmtId="4" fontId="22" fillId="0" borderId="1" xfId="0" applyNumberFormat="1" applyFont="1" applyFill="1" applyBorder="1" applyAlignment="1" applyProtection="1">
      <alignment horizontal="center" vertical="center"/>
    </xf>
    <xf numFmtId="169" fontId="22" fillId="0" borderId="1" xfId="0" applyNumberFormat="1" applyFont="1" applyFill="1" applyBorder="1" applyAlignment="1" applyProtection="1">
      <alignment horizontal="center" vertical="center"/>
    </xf>
    <xf numFmtId="10" fontId="22" fillId="9"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right" vertical="center" indent="1"/>
    </xf>
    <xf numFmtId="0" fontId="5" fillId="0" borderId="0" xfId="0" applyFont="1" applyFill="1" applyBorder="1" applyAlignment="1" applyProtection="1">
      <alignment horizontal="left" vertical="center"/>
    </xf>
    <xf numFmtId="22" fontId="5" fillId="0" borderId="0" xfId="0" applyNumberFormat="1" applyFont="1" applyFill="1" applyAlignment="1" applyProtection="1">
      <alignment horizontal="left" vertical="center"/>
    </xf>
    <xf numFmtId="0" fontId="22" fillId="0" borderId="16" xfId="0" applyFont="1" applyFill="1" applyBorder="1" applyAlignment="1" applyProtection="1">
      <alignment horizontal="right" vertical="center" indent="1"/>
    </xf>
    <xf numFmtId="169" fontId="22" fillId="9" borderId="16" xfId="0" applyNumberFormat="1" applyFont="1" applyFill="1" applyBorder="1" applyAlignment="1" applyProtection="1">
      <alignment horizontal="center" vertical="center"/>
    </xf>
    <xf numFmtId="170" fontId="22" fillId="9" borderId="16" xfId="0" applyNumberFormat="1" applyFont="1" applyFill="1" applyBorder="1" applyAlignment="1" applyProtection="1">
      <alignment horizontal="center" vertical="center"/>
    </xf>
    <xf numFmtId="0" fontId="5" fillId="0" borderId="11" xfId="0" applyFont="1" applyFill="1" applyBorder="1" applyAlignment="1" applyProtection="1">
      <alignment horizontal="right" vertical="center" indent="1"/>
    </xf>
    <xf numFmtId="4" fontId="42" fillId="0" borderId="1" xfId="0" applyNumberFormat="1" applyFont="1" applyFill="1" applyBorder="1" applyAlignment="1" applyProtection="1">
      <alignment horizontal="center" vertical="center"/>
    </xf>
    <xf numFmtId="0" fontId="22" fillId="0" borderId="12" xfId="0" applyFont="1" applyFill="1" applyBorder="1" applyAlignment="1" applyProtection="1">
      <alignment horizontal="right" vertical="center" indent="1"/>
    </xf>
    <xf numFmtId="169" fontId="22" fillId="0" borderId="12" xfId="0" applyNumberFormat="1" applyFont="1" applyFill="1" applyBorder="1" applyAlignment="1" applyProtection="1">
      <alignment horizontal="center" vertical="center"/>
    </xf>
    <xf numFmtId="170" fontId="22" fillId="0" borderId="12" xfId="0" applyNumberFormat="1" applyFont="1" applyFill="1" applyBorder="1" applyAlignment="1" applyProtection="1">
      <alignment horizontal="center" vertical="center"/>
    </xf>
    <xf numFmtId="171" fontId="10"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0" fontId="30" fillId="0" borderId="0" xfId="0" applyFont="1" applyFill="1" applyAlignment="1" applyProtection="1">
      <alignment horizontal="left" vertical="center"/>
    </xf>
    <xf numFmtId="0" fontId="30" fillId="0" borderId="0" xfId="0" applyFont="1" applyFill="1" applyAlignment="1" applyProtection="1">
      <alignment vertical="center"/>
    </xf>
    <xf numFmtId="0" fontId="5" fillId="0" borderId="1" xfId="0" applyFont="1" applyFill="1" applyBorder="1" applyAlignment="1" applyProtection="1">
      <alignment horizontal="center" vertical="center"/>
    </xf>
    <xf numFmtId="171" fontId="5" fillId="0" borderId="1" xfId="0" applyNumberFormat="1" applyFont="1" applyFill="1" applyBorder="1" applyAlignment="1" applyProtection="1">
      <alignment horizontal="right" vertical="center"/>
    </xf>
    <xf numFmtId="3" fontId="5" fillId="0" borderId="1" xfId="0" applyNumberFormat="1" applyFont="1" applyFill="1" applyBorder="1" applyAlignment="1" applyProtection="1">
      <alignment horizontal="center" vertical="center"/>
    </xf>
    <xf numFmtId="0" fontId="7" fillId="0" borderId="11" xfId="0" applyFont="1" applyFill="1" applyBorder="1" applyAlignment="1">
      <alignment horizontal="left" vertical="center" wrapText="1" readingOrder="1"/>
    </xf>
    <xf numFmtId="2" fontId="22" fillId="0" borderId="10" xfId="0" applyNumberFormat="1" applyFont="1" applyFill="1" applyBorder="1" applyAlignment="1" applyProtection="1">
      <alignment horizontal="right" vertical="center" wrapText="1" indent="1" readingOrder="1"/>
      <protection locked="0"/>
    </xf>
    <xf numFmtId="164" fontId="22" fillId="0" borderId="10" xfId="0" applyNumberFormat="1" applyFont="1" applyFill="1" applyBorder="1" applyAlignment="1" applyProtection="1">
      <alignment horizontal="right" vertical="center" wrapText="1" readingOrder="1"/>
      <protection locked="0"/>
    </xf>
    <xf numFmtId="2" fontId="22" fillId="0" borderId="10" xfId="0" applyNumberFormat="1" applyFont="1" applyFill="1" applyBorder="1" applyAlignment="1" applyProtection="1">
      <alignment horizontal="right" vertical="center" wrapText="1" readingOrder="1"/>
      <protection locked="0"/>
    </xf>
    <xf numFmtId="2" fontId="5" fillId="0" borderId="19"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67" fontId="5" fillId="0" borderId="1"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3" fontId="5" fillId="0" borderId="12"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166"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locked="0"/>
    </xf>
    <xf numFmtId="1" fontId="5" fillId="0" borderId="1" xfId="0"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right" vertical="center"/>
      <protection locked="0"/>
    </xf>
    <xf numFmtId="20" fontId="5" fillId="0" borderId="10" xfId="0" applyNumberFormat="1" applyFont="1" applyBorder="1" applyAlignment="1" applyProtection="1">
      <alignment horizontal="right" vertical="center"/>
      <protection locked="0"/>
    </xf>
    <xf numFmtId="166" fontId="5" fillId="0" borderId="10" xfId="0" applyNumberFormat="1" applyFont="1" applyFill="1" applyBorder="1" applyAlignment="1" applyProtection="1">
      <alignment horizontal="right" vertical="center"/>
      <protection locked="0"/>
    </xf>
    <xf numFmtId="3" fontId="5" fillId="0" borderId="10" xfId="0" applyNumberFormat="1" applyFont="1" applyFill="1" applyBorder="1" applyAlignment="1" applyProtection="1">
      <alignment horizontal="right" vertical="center"/>
      <protection locked="0"/>
    </xf>
    <xf numFmtId="2" fontId="5" fillId="0" borderId="16" xfId="0" applyNumberFormat="1" applyFont="1" applyBorder="1" applyAlignment="1" applyProtection="1">
      <alignment horizontal="center" vertical="center"/>
      <protection locked="0"/>
    </xf>
    <xf numFmtId="2" fontId="5" fillId="0" borderId="11" xfId="0" applyNumberFormat="1" applyFont="1" applyBorder="1" applyAlignment="1" applyProtection="1">
      <alignment horizontal="center" vertical="center"/>
      <protection locked="0"/>
    </xf>
    <xf numFmtId="2" fontId="5" fillId="0" borderId="10" xfId="0" applyNumberFormat="1" applyFont="1" applyFill="1" applyBorder="1" applyAlignment="1" applyProtection="1">
      <alignment horizontal="right" vertical="center"/>
      <protection locked="0"/>
    </xf>
    <xf numFmtId="0" fontId="26" fillId="9" borderId="1" xfId="0" applyFont="1" applyFill="1" applyBorder="1" applyAlignment="1" applyProtection="1">
      <alignment horizontal="center" vertical="center" wrapText="1"/>
      <protection locked="0"/>
    </xf>
    <xf numFmtId="0" fontId="26" fillId="9" borderId="1" xfId="0" applyFont="1" applyFill="1" applyBorder="1" applyAlignment="1" applyProtection="1">
      <alignment horizontal="right" vertical="center" wrapText="1"/>
      <protection locked="0"/>
    </xf>
    <xf numFmtId="2" fontId="26" fillId="9" borderId="1" xfId="0" applyNumberFormat="1" applyFont="1" applyFill="1" applyBorder="1" applyAlignment="1" applyProtection="1">
      <alignment horizontal="right" vertical="center"/>
      <protection locked="0"/>
    </xf>
    <xf numFmtId="3" fontId="26" fillId="9" borderId="1" xfId="0" applyNumberFormat="1" applyFont="1" applyFill="1" applyBorder="1" applyAlignment="1" applyProtection="1">
      <alignment horizontal="center" vertical="center"/>
      <protection locked="0"/>
    </xf>
    <xf numFmtId="3" fontId="52" fillId="9" borderId="1" xfId="0" applyNumberFormat="1" applyFont="1" applyFill="1" applyBorder="1" applyAlignment="1" applyProtection="1">
      <alignment horizontal="center" vertical="center"/>
      <protection locked="0"/>
    </xf>
    <xf numFmtId="14" fontId="5" fillId="0" borderId="10" xfId="0" applyNumberFormat="1" applyFont="1" applyBorder="1" applyAlignment="1" applyProtection="1">
      <alignment horizontal="right" vertical="center"/>
    </xf>
    <xf numFmtId="0" fontId="30" fillId="10" borderId="1" xfId="0" applyFont="1" applyFill="1" applyBorder="1" applyAlignment="1" applyProtection="1">
      <alignment horizontal="center" vertical="center" wrapText="1"/>
    </xf>
    <xf numFmtId="0" fontId="5" fillId="10" borderId="1" xfId="0" applyFont="1" applyFill="1" applyBorder="1" applyAlignment="1" applyProtection="1">
      <alignment vertical="center" wrapText="1"/>
      <protection locked="0"/>
    </xf>
    <xf numFmtId="0" fontId="11" fillId="3" borderId="0" xfId="0" applyFont="1" applyFill="1" applyAlignment="1">
      <alignment horizontal="center" vertical="center"/>
    </xf>
    <xf numFmtId="0" fontId="0" fillId="3" borderId="13" xfId="0" applyFill="1" applyBorder="1" applyAlignment="1">
      <alignment horizontal="center" vertical="center"/>
    </xf>
    <xf numFmtId="0" fontId="0" fillId="3" borderId="0" xfId="0" applyFill="1" applyBorder="1" applyAlignment="1">
      <alignment horizontal="center" vertical="center"/>
    </xf>
    <xf numFmtId="0" fontId="0" fillId="3" borderId="0" xfId="0" applyFill="1" applyAlignment="1">
      <alignment horizontal="center" vertical="center"/>
    </xf>
    <xf numFmtId="0" fontId="0" fillId="10" borderId="10" xfId="0" applyFill="1" applyBorder="1" applyAlignment="1" applyProtection="1">
      <alignment horizontal="left" vertical="center"/>
      <protection locked="0"/>
    </xf>
    <xf numFmtId="0" fontId="0" fillId="10" borderId="12" xfId="0" applyFill="1" applyBorder="1" applyAlignment="1" applyProtection="1">
      <alignment horizontal="left" vertical="center"/>
      <protection locked="0"/>
    </xf>
    <xf numFmtId="0" fontId="0" fillId="10" borderId="11" xfId="0" applyFill="1" applyBorder="1" applyAlignment="1" applyProtection="1">
      <alignment horizontal="left" vertical="center"/>
      <protection locked="0"/>
    </xf>
    <xf numFmtId="0" fontId="8" fillId="3" borderId="0" xfId="0" applyFont="1" applyFill="1" applyAlignment="1">
      <alignment horizontal="center" vertical="center"/>
    </xf>
    <xf numFmtId="0" fontId="9" fillId="3" borderId="0" xfId="0" applyFont="1" applyFill="1" applyAlignment="1">
      <alignment horizontal="center" vertical="center"/>
    </xf>
    <xf numFmtId="0" fontId="0" fillId="3" borderId="0" xfId="0" applyFont="1" applyFill="1" applyAlignment="1">
      <alignment horizontal="center" vertical="center"/>
    </xf>
    <xf numFmtId="0" fontId="12" fillId="3" borderId="0" xfId="0" applyFont="1" applyFill="1" applyAlignment="1">
      <alignment horizontal="center" vertical="center"/>
    </xf>
    <xf numFmtId="4" fontId="1" fillId="3" borderId="10" xfId="0" applyNumberFormat="1" applyFont="1" applyFill="1" applyBorder="1" applyAlignment="1" applyProtection="1">
      <alignment horizontal="center" vertical="center"/>
      <protection locked="0"/>
    </xf>
    <xf numFmtId="4" fontId="1" fillId="3" borderId="11" xfId="0" applyNumberFormat="1" applyFont="1" applyFill="1" applyBorder="1" applyAlignment="1" applyProtection="1">
      <alignment horizontal="center" vertical="center"/>
      <protection locked="0"/>
    </xf>
    <xf numFmtId="0" fontId="4" fillId="3" borderId="0" xfId="0" applyFont="1" applyFill="1" applyAlignment="1">
      <alignment horizontal="left" vertical="top" wrapText="1"/>
    </xf>
    <xf numFmtId="0" fontId="0" fillId="6" borderId="0" xfId="0" applyFill="1" applyBorder="1" applyAlignment="1">
      <alignment horizontal="center" vertical="center"/>
    </xf>
    <xf numFmtId="1" fontId="1" fillId="3" borderId="10" xfId="0" applyNumberFormat="1" applyFont="1" applyFill="1" applyBorder="1" applyAlignment="1" applyProtection="1">
      <alignment horizontal="center" vertical="center"/>
      <protection locked="0"/>
    </xf>
    <xf numFmtId="1" fontId="1" fillId="3" borderId="11" xfId="0" applyNumberFormat="1" applyFont="1" applyFill="1" applyBorder="1" applyAlignment="1" applyProtection="1">
      <alignment horizontal="center" vertical="center"/>
      <protection locked="0"/>
    </xf>
    <xf numFmtId="0" fontId="14" fillId="11" borderId="0" xfId="0" applyFont="1" applyFill="1" applyAlignment="1">
      <alignment horizontal="center" vertical="center"/>
    </xf>
    <xf numFmtId="0" fontId="15" fillId="3" borderId="0" xfId="0" applyFont="1" applyFill="1" applyAlignment="1">
      <alignment horizontal="right" vertical="center" wrapText="1" indent="1"/>
    </xf>
    <xf numFmtId="0" fontId="15" fillId="3" borderId="0" xfId="0" applyFont="1" applyFill="1" applyAlignment="1">
      <alignment horizontal="right" vertical="center" indent="1"/>
    </xf>
    <xf numFmtId="0" fontId="1" fillId="3" borderId="2"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20" fillId="2" borderId="0" xfId="0" applyFont="1" applyFill="1" applyBorder="1" applyAlignment="1">
      <alignment horizontal="left" vertical="top" wrapText="1" indent="2"/>
    </xf>
    <xf numFmtId="0" fontId="20" fillId="2" borderId="7" xfId="0" applyFont="1" applyFill="1" applyBorder="1" applyAlignment="1">
      <alignment horizontal="left" vertical="top" wrapText="1" indent="2"/>
    </xf>
    <xf numFmtId="0" fontId="20" fillId="2" borderId="2" xfId="0" applyFont="1" applyFill="1" applyBorder="1" applyAlignment="1">
      <alignment horizontal="left" vertical="top" wrapText="1" indent="2"/>
    </xf>
    <xf numFmtId="0" fontId="20" fillId="2" borderId="9" xfId="0" applyFont="1" applyFill="1" applyBorder="1" applyAlignment="1">
      <alignment horizontal="left" vertical="top" wrapText="1" indent="2"/>
    </xf>
    <xf numFmtId="4" fontId="20" fillId="8" borderId="10" xfId="0" applyNumberFormat="1" applyFont="1" applyFill="1" applyBorder="1" applyAlignment="1" applyProtection="1">
      <alignment horizontal="center" vertical="center"/>
    </xf>
    <xf numFmtId="4" fontId="20" fillId="8" borderId="11" xfId="0" applyNumberFormat="1" applyFont="1" applyFill="1" applyBorder="1" applyAlignment="1" applyProtection="1">
      <alignment horizontal="center" vertical="center"/>
    </xf>
    <xf numFmtId="4" fontId="39" fillId="8" borderId="10" xfId="0" applyNumberFormat="1" applyFont="1" applyFill="1" applyBorder="1" applyAlignment="1">
      <alignment horizontal="center" vertical="center"/>
    </xf>
    <xf numFmtId="4" fontId="39" fillId="8" borderId="11" xfId="0" applyNumberFormat="1" applyFont="1" applyFill="1" applyBorder="1" applyAlignment="1">
      <alignment horizontal="center" vertical="center"/>
    </xf>
    <xf numFmtId="0" fontId="0" fillId="8" borderId="0" xfId="0" applyFill="1" applyBorder="1" applyAlignment="1">
      <alignment horizontal="center" vertical="center"/>
    </xf>
    <xf numFmtId="0" fontId="0" fillId="7" borderId="0" xfId="0" applyFill="1" applyBorder="1" applyAlignment="1">
      <alignment horizontal="left" vertical="top" wrapText="1"/>
    </xf>
    <xf numFmtId="4" fontId="20" fillId="5" borderId="10" xfId="0" applyNumberFormat="1" applyFont="1" applyFill="1" applyBorder="1" applyAlignment="1">
      <alignment horizontal="center" vertical="center"/>
    </xf>
    <xf numFmtId="4" fontId="20" fillId="5" borderId="11" xfId="0" applyNumberFormat="1" applyFont="1" applyFill="1" applyBorder="1" applyAlignment="1">
      <alignment horizontal="center" vertical="center"/>
    </xf>
    <xf numFmtId="0" fontId="0" fillId="5" borderId="6" xfId="0" applyFill="1" applyBorder="1" applyAlignment="1">
      <alignment horizontal="left" vertical="center" indent="1"/>
    </xf>
    <xf numFmtId="0" fontId="0" fillId="5" borderId="0" xfId="0" applyFill="1" applyBorder="1" applyAlignment="1">
      <alignment horizontal="left" vertical="center" indent="1"/>
    </xf>
    <xf numFmtId="4" fontId="20" fillId="4" borderId="10" xfId="0" applyNumberFormat="1" applyFont="1" applyFill="1" applyBorder="1" applyAlignment="1">
      <alignment horizontal="center" vertical="center"/>
    </xf>
    <xf numFmtId="4" fontId="20" fillId="4" borderId="11" xfId="0" applyNumberFormat="1" applyFont="1" applyFill="1" applyBorder="1" applyAlignment="1">
      <alignment horizontal="center" vertical="center"/>
    </xf>
    <xf numFmtId="1" fontId="0" fillId="10" borderId="10" xfId="0" applyNumberFormat="1" applyFill="1" applyBorder="1" applyAlignment="1">
      <alignment horizontal="left" vertical="center"/>
    </xf>
    <xf numFmtId="1" fontId="0" fillId="10" borderId="12" xfId="0" applyNumberFormat="1" applyFill="1" applyBorder="1" applyAlignment="1">
      <alignment horizontal="left" vertical="center"/>
    </xf>
    <xf numFmtId="1" fontId="0" fillId="10" borderId="11" xfId="0" applyNumberFormat="1" applyFill="1" applyBorder="1" applyAlignment="1">
      <alignment horizontal="left" vertical="center"/>
    </xf>
    <xf numFmtId="0" fontId="0" fillId="10" borderId="10" xfId="0" applyFill="1" applyBorder="1" applyAlignment="1">
      <alignment horizontal="left" vertical="center"/>
    </xf>
    <xf numFmtId="0" fontId="0" fillId="10" borderId="12" xfId="0" applyFill="1" applyBorder="1" applyAlignment="1">
      <alignment horizontal="left" vertical="center"/>
    </xf>
    <xf numFmtId="0" fontId="0" fillId="10" borderId="11" xfId="0" applyFill="1" applyBorder="1" applyAlignment="1">
      <alignment horizontal="left" vertical="center"/>
    </xf>
    <xf numFmtId="4" fontId="20" fillId="7" borderId="10" xfId="0" applyNumberFormat="1" applyFont="1" applyFill="1" applyBorder="1" applyAlignment="1">
      <alignment horizontal="center" vertical="center"/>
    </xf>
    <xf numFmtId="4" fontId="20" fillId="7" borderId="11" xfId="0" applyNumberFormat="1" applyFont="1" applyFill="1" applyBorder="1" applyAlignment="1">
      <alignment horizontal="center" vertical="center"/>
    </xf>
    <xf numFmtId="4" fontId="20" fillId="9" borderId="10" xfId="0" applyNumberFormat="1" applyFont="1" applyFill="1" applyBorder="1" applyAlignment="1" applyProtection="1">
      <alignment horizontal="center" vertical="center"/>
    </xf>
    <xf numFmtId="4" fontId="20" fillId="9" borderId="11" xfId="0" applyNumberFormat="1" applyFont="1" applyFill="1" applyBorder="1" applyAlignment="1" applyProtection="1">
      <alignment horizontal="center" vertical="center"/>
    </xf>
    <xf numFmtId="0" fontId="5" fillId="3" borderId="1" xfId="0" applyFont="1" applyFill="1" applyBorder="1" applyAlignment="1">
      <alignment horizontal="right" vertical="center" indent="1"/>
    </xf>
    <xf numFmtId="0" fontId="30" fillId="3" borderId="1" xfId="0" applyFont="1" applyFill="1" applyBorder="1" applyAlignment="1">
      <alignment horizontal="right" vertical="center" indent="1"/>
    </xf>
    <xf numFmtId="0" fontId="49" fillId="3" borderId="0" xfId="0" applyFont="1" applyFill="1" applyAlignment="1">
      <alignment horizontal="center"/>
    </xf>
    <xf numFmtId="0" fontId="30" fillId="3" borderId="1" xfId="0" applyFont="1" applyFill="1" applyBorder="1" applyAlignment="1">
      <alignment horizontal="center" vertical="center" textRotation="90"/>
    </xf>
    <xf numFmtId="0" fontId="30" fillId="3" borderId="16" xfId="0" applyFont="1" applyFill="1" applyBorder="1" applyAlignment="1">
      <alignment horizontal="center" vertical="center" textRotation="90"/>
    </xf>
    <xf numFmtId="0" fontId="30" fillId="3" borderId="17" xfId="0" applyFont="1" applyFill="1" applyBorder="1" applyAlignment="1">
      <alignment horizontal="center" vertical="center" textRotation="90"/>
    </xf>
    <xf numFmtId="0" fontId="30" fillId="3" borderId="18" xfId="0" applyFont="1" applyFill="1" applyBorder="1" applyAlignment="1">
      <alignment horizontal="center" vertical="center" textRotation="90"/>
    </xf>
    <xf numFmtId="0" fontId="30" fillId="3" borderId="10"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0" xfId="0" applyFont="1" applyFill="1" applyBorder="1" applyAlignment="1">
      <alignment horizontal="right" vertical="center" indent="1"/>
    </xf>
    <xf numFmtId="0" fontId="30" fillId="3" borderId="12" xfId="0" applyFont="1" applyFill="1" applyBorder="1" applyAlignment="1">
      <alignment horizontal="right" vertical="center" indent="1"/>
    </xf>
    <xf numFmtId="0" fontId="30" fillId="3" borderId="11" xfId="0" applyFont="1" applyFill="1" applyBorder="1" applyAlignment="1">
      <alignment horizontal="right" vertical="center" indent="1"/>
    </xf>
    <xf numFmtId="0" fontId="5" fillId="3" borderId="10" xfId="0" applyFont="1" applyFill="1" applyBorder="1" applyAlignment="1">
      <alignment horizontal="right" vertical="center" indent="1"/>
    </xf>
    <xf numFmtId="0" fontId="5" fillId="3" borderId="12" xfId="0" applyFont="1" applyFill="1" applyBorder="1" applyAlignment="1">
      <alignment horizontal="right" vertical="center" indent="1"/>
    </xf>
    <xf numFmtId="0" fontId="5" fillId="3" borderId="11" xfId="0" applyFont="1" applyFill="1" applyBorder="1" applyAlignment="1">
      <alignment horizontal="right" vertical="center" indent="1"/>
    </xf>
    <xf numFmtId="0" fontId="4" fillId="3" borderId="0" xfId="0" applyFont="1" applyFill="1" applyAlignment="1">
      <alignment horizontal="left" wrapText="1"/>
    </xf>
    <xf numFmtId="0" fontId="18" fillId="3" borderId="0" xfId="0" applyFont="1" applyFill="1" applyAlignment="1">
      <alignment horizontal="center" vertical="center"/>
    </xf>
    <xf numFmtId="0" fontId="16" fillId="3" borderId="0" xfId="0" applyFont="1" applyFill="1" applyAlignment="1">
      <alignment horizontal="center" vertical="center"/>
    </xf>
    <xf numFmtId="0" fontId="5" fillId="10" borderId="16"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wrapText="1"/>
    </xf>
    <xf numFmtId="0" fontId="5" fillId="10" borderId="18" xfId="0" applyFont="1" applyFill="1" applyBorder="1" applyAlignment="1" applyProtection="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10" fontId="22" fillId="0" borderId="1" xfId="0" applyNumberFormat="1" applyFont="1" applyFill="1" applyBorder="1" applyAlignment="1">
      <alignment horizontal="center" vertical="center"/>
    </xf>
    <xf numFmtId="10" fontId="22" fillId="0" borderId="3" xfId="0" applyNumberFormat="1" applyFont="1" applyFill="1" applyBorder="1" applyAlignment="1">
      <alignment horizontal="center" vertical="center"/>
    </xf>
    <xf numFmtId="10" fontId="22" fillId="0" borderId="5" xfId="0" applyNumberFormat="1" applyFont="1" applyFill="1" applyBorder="1" applyAlignment="1">
      <alignment horizontal="center" vertical="center"/>
    </xf>
    <xf numFmtId="10" fontId="22" fillId="0" borderId="8" xfId="0" applyNumberFormat="1" applyFont="1" applyFill="1" applyBorder="1" applyAlignment="1">
      <alignment horizontal="center" vertical="center"/>
    </xf>
    <xf numFmtId="10" fontId="22" fillId="0" borderId="9" xfId="0" applyNumberFormat="1" applyFont="1" applyFill="1" applyBorder="1" applyAlignment="1">
      <alignment horizontal="center" vertical="center"/>
    </xf>
    <xf numFmtId="14" fontId="22" fillId="0" borderId="4" xfId="0" applyNumberFormat="1" applyFont="1" applyFill="1" applyBorder="1" applyAlignment="1">
      <alignment horizontal="center" vertical="center"/>
    </xf>
    <xf numFmtId="14" fontId="22" fillId="0" borderId="2" xfId="0" applyNumberFormat="1"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5" fillId="0" borderId="19" xfId="0" applyFont="1" applyBorder="1" applyAlignment="1">
      <alignment horizontal="center" vertical="center"/>
    </xf>
    <xf numFmtId="0" fontId="26" fillId="9" borderId="3"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1" xfId="0" applyFont="1" applyBorder="1" applyAlignment="1">
      <alignment horizontal="center" vertical="center"/>
    </xf>
    <xf numFmtId="0" fontId="26" fillId="9" borderId="16"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16"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0" fillId="0" borderId="12" xfId="0" applyFont="1" applyBorder="1" applyAlignment="1">
      <alignment horizontal="center" vertical="center" wrapText="1"/>
    </xf>
    <xf numFmtId="0" fontId="23" fillId="0" borderId="4"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Border="1" applyAlignment="1">
      <alignment horizontal="center" vertical="center"/>
    </xf>
    <xf numFmtId="0" fontId="30" fillId="10" borderId="10" xfId="0" applyFont="1" applyFill="1" applyBorder="1" applyAlignment="1" applyProtection="1">
      <alignment horizontal="center" vertical="center"/>
    </xf>
    <xf numFmtId="0" fontId="30" fillId="10" borderId="12" xfId="0" applyFont="1" applyFill="1" applyBorder="1" applyAlignment="1" applyProtection="1">
      <alignment horizontal="center" vertical="center"/>
    </xf>
    <xf numFmtId="0" fontId="30" fillId="10" borderId="11" xfId="0" applyFont="1" applyFill="1" applyBorder="1" applyAlignment="1" applyProtection="1">
      <alignment horizontal="center" vertical="center"/>
    </xf>
    <xf numFmtId="0" fontId="5" fillId="0" borderId="10"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 xfId="0" applyFont="1" applyFill="1" applyBorder="1" applyAlignment="1">
      <alignment horizontal="right" vertical="center"/>
    </xf>
    <xf numFmtId="0" fontId="30" fillId="0" borderId="0" xfId="0" applyFont="1" applyFill="1" applyBorder="1" applyAlignment="1">
      <alignment horizontal="right" vertical="center"/>
    </xf>
    <xf numFmtId="0" fontId="30" fillId="10" borderId="10" xfId="0" applyFont="1" applyFill="1" applyBorder="1" applyAlignment="1">
      <alignment horizontal="center" vertical="center"/>
    </xf>
    <xf numFmtId="0" fontId="30" fillId="10" borderId="12" xfId="0" applyFont="1" applyFill="1" applyBorder="1" applyAlignment="1">
      <alignment horizontal="center" vertical="center"/>
    </xf>
    <xf numFmtId="0" fontId="30" fillId="10" borderId="11" xfId="0" applyFont="1" applyFill="1" applyBorder="1" applyAlignment="1">
      <alignment horizontal="center" vertical="center"/>
    </xf>
    <xf numFmtId="0" fontId="5" fillId="3" borderId="1" xfId="0" applyFont="1" applyFill="1" applyBorder="1" applyAlignment="1">
      <alignment horizontal="right" vertical="center"/>
    </xf>
    <xf numFmtId="0" fontId="30" fillId="0" borderId="7" xfId="0" applyFont="1" applyFill="1" applyBorder="1" applyAlignment="1">
      <alignment horizontal="right" vertical="center"/>
    </xf>
    <xf numFmtId="0" fontId="5" fillId="0" borderId="10" xfId="0" applyFont="1" applyFill="1" applyBorder="1" applyAlignment="1">
      <alignment horizontal="right" vertical="center" indent="1"/>
    </xf>
    <xf numFmtId="0" fontId="5" fillId="0" borderId="12" xfId="0" applyFont="1" applyFill="1" applyBorder="1" applyAlignment="1">
      <alignment horizontal="right" vertical="center" indent="1"/>
    </xf>
    <xf numFmtId="0" fontId="5" fillId="0" borderId="11" xfId="0" applyFont="1" applyFill="1" applyBorder="1" applyAlignment="1">
      <alignment horizontal="right" vertical="center" indent="1"/>
    </xf>
    <xf numFmtId="0" fontId="30" fillId="0" borderId="1" xfId="0" applyFont="1" applyFill="1" applyBorder="1" applyAlignment="1">
      <alignment horizontal="center" vertical="center"/>
    </xf>
    <xf numFmtId="0" fontId="5" fillId="0" borderId="1" xfId="0" applyFont="1" applyFill="1" applyBorder="1" applyAlignment="1">
      <alignment horizontal="right" vertical="center" indent="1"/>
    </xf>
    <xf numFmtId="0" fontId="30" fillId="0" borderId="1" xfId="0" applyFont="1" applyFill="1" applyBorder="1" applyAlignment="1">
      <alignment horizontal="right" vertical="center" indent="1"/>
    </xf>
    <xf numFmtId="0" fontId="5" fillId="10" borderId="1" xfId="0" applyFont="1" applyFill="1" applyBorder="1" applyAlignment="1" applyProtection="1">
      <alignment vertical="center" wrapText="1"/>
      <protection locked="0"/>
    </xf>
    <xf numFmtId="0" fontId="5" fillId="10" borderId="1" xfId="0" applyFont="1" applyFill="1" applyBorder="1" applyAlignment="1" applyProtection="1">
      <alignment vertical="center" wrapText="1"/>
      <protection locked="0"/>
    </xf>
  </cellXfs>
  <cellStyles count="3">
    <cellStyle name="Normale" xfId="0" builtinId="0"/>
    <cellStyle name="Normale_MUTUO" xfId="1"/>
    <cellStyle name="Normale_Valutazione mutuo-prestito" xfId="2"/>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F$55" fmlaRange="$D$56:$D$63" noThreeD="1" sel="6" val="0"/>
</file>

<file path=xl/ctrlProps/ctrlProp2.xml><?xml version="1.0" encoding="utf-8"?>
<formControlPr xmlns="http://schemas.microsoft.com/office/spreadsheetml/2009/9/main" objectType="Drop" dropStyle="combo" dx="16" fmlaLink="$E$91" fmlaRange="$C$92:$C$95" noThreeD="1" val="0"/>
</file>

<file path=xl/ctrlProps/ctrlProp3.xml><?xml version="1.0" encoding="utf-8"?>
<formControlPr xmlns="http://schemas.microsoft.com/office/spreadsheetml/2009/9/main" objectType="Drop" dropStyle="combo" dx="16" fmlaLink="$E$99" fmlaRange="$C$100:$C$105" noThreeD="1" val="0"/>
</file>

<file path=xl/ctrlProps/ctrlProp4.xml><?xml version="1.0" encoding="utf-8"?>
<formControlPr xmlns="http://schemas.microsoft.com/office/spreadsheetml/2009/9/main" objectType="Drop" dropLines="15" dropStyle="combo" dx="16" fmlaLink="$E$123" fmlaRange="$C$124:$C$138" noThreeD="1" val="0"/>
</file>

<file path=xl/ctrlProps/ctrlProp5.xml><?xml version="1.0" encoding="utf-8"?>
<formControlPr xmlns="http://schemas.microsoft.com/office/spreadsheetml/2009/9/main" objectType="Drop" dropStyle="combo" dx="16" fmlaLink="$E$140" fmlaRange="$C$141:$C$143" noThreeD="1" val="0"/>
</file>

<file path=xl/ctrlProps/ctrlProp6.xml><?xml version="1.0" encoding="utf-8"?>
<formControlPr xmlns="http://schemas.microsoft.com/office/spreadsheetml/2009/9/main" objectType="Drop" dropStyle="combo" dx="16" fmlaLink="$E$107" fmlaRange="$C$108:$C$121" noThreeD="1" sel="12" val="6"/>
</file>

<file path=xl/ctrlProps/ctrlProp7.xml><?xml version="1.0" encoding="utf-8"?>
<formControlPr xmlns="http://schemas.microsoft.com/office/spreadsheetml/2009/9/main" objectType="Drop" dropLines="4" dropStyle="combo" dx="16" fmlaLink="$E$145" fmlaRange="$C$146:$C$149" noThreeD="1" val="0"/>
</file>

<file path=xl/ctrlProps/ctrlProp8.xml><?xml version="1.0" encoding="utf-8"?>
<formControlPr xmlns="http://schemas.microsoft.com/office/spreadsheetml/2009/9/main" objectType="Drop" dropLines="15" dropStyle="combo" dx="16" fmlaLink="$E$151" fmlaRange="$C$152:$C$166" noThreeD="1" val="0"/>
</file>

<file path=xl/ctrlProps/ctrlProp9.xml><?xml version="1.0" encoding="utf-8"?>
<formControlPr xmlns="http://schemas.microsoft.com/office/spreadsheetml/2009/9/main" objectType="Drop" dropStyle="combo" dx="16" fmlaLink="$E$168" fmlaRange="$C$169:$C$171" noThreeD="1" val="0"/>
</file>

<file path=xl/ctrlProps/ctrlProp10.xml><?xml version="1.0" encoding="utf-8"?>
<formControlPr xmlns="http://schemas.microsoft.com/office/spreadsheetml/2009/9/main" objectType="Drop" dropStyle="combo" dx="16" fmlaLink="$E$76" fmlaRange="$C$77:$C$78" noThreeD="1" val="0"/>
</file>

<file path=xl/ctrlProps/ctrlProp11.xml><?xml version="1.0" encoding="utf-8"?>
<formControlPr xmlns="http://schemas.microsoft.com/office/spreadsheetml/2009/9/main" objectType="Drop" dropStyle="combo" dx="16" fmlaLink="$E$80" fmlaRange="$C$81:$C$82" noThreeD="1" val="0"/>
</file>

<file path=xl/ctrlProps/ctrlProp12.xml><?xml version="1.0" encoding="utf-8"?>
<formControlPr xmlns="http://schemas.microsoft.com/office/spreadsheetml/2009/9/main" objectType="Drop" dropStyle="combo" dx="16" fmlaLink="$E$84" fmlaRange="$C$85:$C$86" noThreeD="1" val="0"/>
</file>

<file path=xl/ctrlProps/ctrlProp13.xml><?xml version="1.0" encoding="utf-8"?>
<formControlPr xmlns="http://schemas.microsoft.com/office/spreadsheetml/2009/9/main" objectType="Drop" dropStyle="combo" dx="16" fmlaLink="$E$88" fmlaRange="$C$89:$C$90" noThreeD="1" val="0"/>
</file>

<file path=xl/ctrlProps/ctrlProp14.xml><?xml version="1.0" encoding="utf-8"?>
<formControlPr xmlns="http://schemas.microsoft.com/office/spreadsheetml/2009/9/main" objectType="Drop" dropStyle="combo" dx="16" fmlaLink="$E$92" fmlaRange="$C$93:$C$94" noThreeD="1" val="0"/>
</file>

<file path=xl/ctrlProps/ctrlProp15.xml><?xml version="1.0" encoding="utf-8"?>
<formControlPr xmlns="http://schemas.microsoft.com/office/spreadsheetml/2009/9/main" objectType="Drop" dropStyle="combo" dx="16" fmlaLink="$E$96" fmlaRange="$C$97:$C$98" noThreeD="1" val="0"/>
</file>

<file path=xl/ctrlProps/ctrlProp16.xml><?xml version="1.0" encoding="utf-8"?>
<formControlPr xmlns="http://schemas.microsoft.com/office/spreadsheetml/2009/9/main" objectType="Drop" dropStyle="combo" dx="16" fmlaLink="$E$100" fmlaRange="$C$101:$C$106" noThreeD="1" val="0"/>
</file>

<file path=xl/ctrlProps/ctrlProp17.xml><?xml version="1.0" encoding="utf-8"?>
<formControlPr xmlns="http://schemas.microsoft.com/office/spreadsheetml/2009/9/main" objectType="Drop" dropStyle="combo" dx="16" fmlaLink="$E$73" fmlaRange="$D$74:$D$75" noThreeD="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190501</xdr:colOff>
      <xdr:row>6</xdr:row>
      <xdr:rowOff>0</xdr:rowOff>
    </xdr:from>
    <xdr:to>
      <xdr:col>12</xdr:col>
      <xdr:colOff>432954</xdr:colOff>
      <xdr:row>13</xdr:row>
      <xdr:rowOff>113144</xdr:rowOff>
    </xdr:to>
    <xdr:pic>
      <xdr:nvPicPr>
        <xdr:cNvPr id="2" name="image2.jpg"/>
        <xdr:cNvPicPr/>
      </xdr:nvPicPr>
      <xdr:blipFill rotWithShape="1">
        <a:blip xmlns:r="http://schemas.openxmlformats.org/officeDocument/2006/relationships" r:embed="rId1"/>
        <a:srcRect l="9730" t="8220" r="5248" b="15068"/>
        <a:stretch/>
      </xdr:blipFill>
      <xdr:spPr>
        <a:xfrm>
          <a:off x="2615046" y="1155700"/>
          <a:ext cx="3879272" cy="1810326"/>
        </a:xfrm>
        <a:prstGeom prst="rect">
          <a:avLst/>
        </a:prstGeom>
        <a:ln/>
      </xdr:spPr>
    </xdr:pic>
    <xdr:clientData/>
  </xdr:twoCellAnchor>
  <xdr:twoCellAnchor editAs="oneCell">
    <xdr:from>
      <xdr:col>1</xdr:col>
      <xdr:colOff>51954</xdr:colOff>
      <xdr:row>46</xdr:row>
      <xdr:rowOff>121226</xdr:rowOff>
    </xdr:from>
    <xdr:to>
      <xdr:col>16</xdr:col>
      <xdr:colOff>190500</xdr:colOff>
      <xdr:row>49</xdr:row>
      <xdr:rowOff>12731</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454" y="11845635"/>
          <a:ext cx="9161319" cy="6188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30</xdr:row>
          <xdr:rowOff>47625</xdr:rowOff>
        </xdr:from>
        <xdr:to>
          <xdr:col>11</xdr:col>
          <xdr:colOff>371475</xdr:colOff>
          <xdr:row>31</xdr:row>
          <xdr:rowOff>47625</xdr:rowOff>
        </xdr:to>
        <xdr:sp macro="" textlink="">
          <xdr:nvSpPr>
            <xdr:cNvPr id="5121" name="Drop Down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0</xdr:row>
      <xdr:rowOff>200025</xdr:rowOff>
    </xdr:from>
    <xdr:to>
      <xdr:col>5</xdr:col>
      <xdr:colOff>100645</xdr:colOff>
      <xdr:row>2</xdr:row>
      <xdr:rowOff>38100</xdr:rowOff>
    </xdr:to>
    <xdr:pic>
      <xdr:nvPicPr>
        <xdr:cNvPr id="2" name="image2.jpg"/>
        <xdr:cNvPicPr/>
      </xdr:nvPicPr>
      <xdr:blipFill rotWithShape="1">
        <a:blip xmlns:r="http://schemas.openxmlformats.org/officeDocument/2006/relationships" r:embed="rId1" cstate="print"/>
        <a:srcRect l="9730" t="8220" r="5248" b="15068"/>
        <a:stretch/>
      </xdr:blipFill>
      <xdr:spPr>
        <a:xfrm>
          <a:off x="123824" y="200025"/>
          <a:ext cx="1805621" cy="857250"/>
        </a:xfrm>
        <a:prstGeom prst="rect">
          <a:avLst/>
        </a:prstGeom>
        <a:ln/>
      </xdr:spPr>
    </xdr:pic>
    <xdr:clientData/>
  </xdr:twoCellAnchor>
  <mc:AlternateContent xmlns:mc="http://schemas.openxmlformats.org/markup-compatibility/2006">
    <mc:Choice xmlns:a14="http://schemas.microsoft.com/office/drawing/2010/main" Requires="a14">
      <xdr:twoCellAnchor editAs="oneCell">
        <xdr:from>
          <xdr:col>11</xdr:col>
          <xdr:colOff>266700</xdr:colOff>
          <xdr:row>19</xdr:row>
          <xdr:rowOff>171450</xdr:rowOff>
        </xdr:from>
        <xdr:to>
          <xdr:col>15</xdr:col>
          <xdr:colOff>571500</xdr:colOff>
          <xdr:row>21</xdr:row>
          <xdr:rowOff>38100</xdr:rowOff>
        </xdr:to>
        <xdr:sp macro="" textlink="">
          <xdr:nvSpPr>
            <xdr:cNvPr id="6146" name="Drop Down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21</xdr:row>
          <xdr:rowOff>171450</xdr:rowOff>
        </xdr:from>
        <xdr:to>
          <xdr:col>15</xdr:col>
          <xdr:colOff>571500</xdr:colOff>
          <xdr:row>23</xdr:row>
          <xdr:rowOff>38100</xdr:rowOff>
        </xdr:to>
        <xdr:sp macro="" textlink="">
          <xdr:nvSpPr>
            <xdr:cNvPr id="6147" name="Drop Down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66675</xdr:rowOff>
        </xdr:from>
        <xdr:to>
          <xdr:col>7</xdr:col>
          <xdr:colOff>133350</xdr:colOff>
          <xdr:row>44</xdr:row>
          <xdr:rowOff>28575</xdr:rowOff>
        </xdr:to>
        <xdr:sp macro="" textlink="">
          <xdr:nvSpPr>
            <xdr:cNvPr id="6148" name="Drop Down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66675</xdr:rowOff>
        </xdr:from>
        <xdr:to>
          <xdr:col>7</xdr:col>
          <xdr:colOff>133350</xdr:colOff>
          <xdr:row>48</xdr:row>
          <xdr:rowOff>28575</xdr:rowOff>
        </xdr:to>
        <xdr:sp macro="" textlink="">
          <xdr:nvSpPr>
            <xdr:cNvPr id="6149" name="Drop Down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23</xdr:row>
          <xdr:rowOff>180975</xdr:rowOff>
        </xdr:from>
        <xdr:to>
          <xdr:col>15</xdr:col>
          <xdr:colOff>571500</xdr:colOff>
          <xdr:row>25</xdr:row>
          <xdr:rowOff>47625</xdr:rowOff>
        </xdr:to>
        <xdr:sp macro="" textlink="">
          <xdr:nvSpPr>
            <xdr:cNvPr id="6150" name="Drop Down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76200</xdr:rowOff>
        </xdr:from>
        <xdr:to>
          <xdr:col>7</xdr:col>
          <xdr:colOff>133350</xdr:colOff>
          <xdr:row>52</xdr:row>
          <xdr:rowOff>38100</xdr:rowOff>
        </xdr:to>
        <xdr:sp macro="" textlink="">
          <xdr:nvSpPr>
            <xdr:cNvPr id="6151" name="Drop Down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66675</xdr:rowOff>
        </xdr:from>
        <xdr:to>
          <xdr:col>7</xdr:col>
          <xdr:colOff>133350</xdr:colOff>
          <xdr:row>58</xdr:row>
          <xdr:rowOff>28575</xdr:rowOff>
        </xdr:to>
        <xdr:sp macro="" textlink="">
          <xdr:nvSpPr>
            <xdr:cNvPr id="6152" name="Drop Down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66675</xdr:rowOff>
        </xdr:from>
        <xdr:to>
          <xdr:col>7</xdr:col>
          <xdr:colOff>133350</xdr:colOff>
          <xdr:row>62</xdr:row>
          <xdr:rowOff>28575</xdr:rowOff>
        </xdr:to>
        <xdr:sp macro="" textlink="">
          <xdr:nvSpPr>
            <xdr:cNvPr id="6153" name="Drop Down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200025</xdr:rowOff>
    </xdr:from>
    <xdr:to>
      <xdr:col>5</xdr:col>
      <xdr:colOff>100646</xdr:colOff>
      <xdr:row>2</xdr:row>
      <xdr:rowOff>38100</xdr:rowOff>
    </xdr:to>
    <xdr:pic>
      <xdr:nvPicPr>
        <xdr:cNvPr id="10" name="image2.jpg"/>
        <xdr:cNvPicPr/>
      </xdr:nvPicPr>
      <xdr:blipFill rotWithShape="1">
        <a:blip xmlns:r="http://schemas.openxmlformats.org/officeDocument/2006/relationships" r:embed="rId1" cstate="print"/>
        <a:srcRect l="9730" t="8220" r="5248" b="15068"/>
        <a:stretch/>
      </xdr:blipFill>
      <xdr:spPr>
        <a:xfrm>
          <a:off x="123825" y="200025"/>
          <a:ext cx="1805621" cy="857250"/>
        </a:xfrm>
        <a:prstGeom prst="rect">
          <a:avLst/>
        </a:prstGeom>
        <a:ln/>
      </xdr:spPr>
    </xdr:pic>
    <xdr:clientData/>
  </xdr:twoCellAnchor>
  <mc:AlternateContent xmlns:mc="http://schemas.openxmlformats.org/markup-compatibility/2006">
    <mc:Choice xmlns:a14="http://schemas.microsoft.com/office/drawing/2010/main" Requires="a14">
      <xdr:twoCellAnchor editAs="oneCell">
        <xdr:from>
          <xdr:col>9</xdr:col>
          <xdr:colOff>28575</xdr:colOff>
          <xdr:row>5</xdr:row>
          <xdr:rowOff>66675</xdr:rowOff>
        </xdr:from>
        <xdr:to>
          <xdr:col>13</xdr:col>
          <xdr:colOff>333375</xdr:colOff>
          <xdr:row>7</xdr:row>
          <xdr:rowOff>28575</xdr:rowOff>
        </xdr:to>
        <xdr:sp macro="" textlink="">
          <xdr:nvSpPr>
            <xdr:cNvPr id="7169" name="Drop Down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161925</xdr:rowOff>
        </xdr:from>
        <xdr:to>
          <xdr:col>13</xdr:col>
          <xdr:colOff>333375</xdr:colOff>
          <xdr:row>9</xdr:row>
          <xdr:rowOff>28575</xdr:rowOff>
        </xdr:to>
        <xdr:sp macro="" textlink="">
          <xdr:nvSpPr>
            <xdr:cNvPr id="7170" name="Drop Down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161925</xdr:rowOff>
        </xdr:from>
        <xdr:to>
          <xdr:col>13</xdr:col>
          <xdr:colOff>333375</xdr:colOff>
          <xdr:row>11</xdr:row>
          <xdr:rowOff>28575</xdr:rowOff>
        </xdr:to>
        <xdr:sp macro="" textlink="">
          <xdr:nvSpPr>
            <xdr:cNvPr id="7171" name="Drop Down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161925</xdr:rowOff>
        </xdr:from>
        <xdr:to>
          <xdr:col>13</xdr:col>
          <xdr:colOff>333375</xdr:colOff>
          <xdr:row>13</xdr:row>
          <xdr:rowOff>28575</xdr:rowOff>
        </xdr:to>
        <xdr:sp macro="" textlink="">
          <xdr:nvSpPr>
            <xdr:cNvPr id="7172" name="Drop Down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161925</xdr:rowOff>
        </xdr:from>
        <xdr:to>
          <xdr:col>13</xdr:col>
          <xdr:colOff>333375</xdr:colOff>
          <xdr:row>15</xdr:row>
          <xdr:rowOff>28575</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161925</xdr:rowOff>
        </xdr:from>
        <xdr:to>
          <xdr:col>13</xdr:col>
          <xdr:colOff>333375</xdr:colOff>
          <xdr:row>17</xdr:row>
          <xdr:rowOff>28575</xdr:rowOff>
        </xdr:to>
        <xdr:sp macro="" textlink="">
          <xdr:nvSpPr>
            <xdr:cNvPr id="7174" name="Drop Down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161925</xdr:rowOff>
        </xdr:from>
        <xdr:to>
          <xdr:col>13</xdr:col>
          <xdr:colOff>333375</xdr:colOff>
          <xdr:row>19</xdr:row>
          <xdr:rowOff>28575</xdr:rowOff>
        </xdr:to>
        <xdr:sp macro="" textlink="">
          <xdr:nvSpPr>
            <xdr:cNvPr id="7175" name="Drop Down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200025</xdr:rowOff>
    </xdr:from>
    <xdr:to>
      <xdr:col>5</xdr:col>
      <xdr:colOff>100646</xdr:colOff>
      <xdr:row>2</xdr:row>
      <xdr:rowOff>38100</xdr:rowOff>
    </xdr:to>
    <xdr:pic>
      <xdr:nvPicPr>
        <xdr:cNvPr id="8" name="image2.jpg"/>
        <xdr:cNvPicPr/>
      </xdr:nvPicPr>
      <xdr:blipFill rotWithShape="1">
        <a:blip xmlns:r="http://schemas.openxmlformats.org/officeDocument/2006/relationships" r:embed="rId1" cstate="print"/>
        <a:srcRect l="9730" t="8220" r="5248" b="15068"/>
        <a:stretch/>
      </xdr:blipFill>
      <xdr:spPr>
        <a:xfrm>
          <a:off x="123825" y="200025"/>
          <a:ext cx="1805621" cy="857250"/>
        </a:xfrm>
        <a:prstGeom prst="rect">
          <a:avLst/>
        </a:prstGeom>
        <a:ln/>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4</xdr:row>
          <xdr:rowOff>104775</xdr:rowOff>
        </xdr:from>
        <xdr:to>
          <xdr:col>7</xdr:col>
          <xdr:colOff>180975</xdr:colOff>
          <xdr:row>5</xdr:row>
          <xdr:rowOff>152400</xdr:rowOff>
        </xdr:to>
        <xdr:sp macro="" textlink="">
          <xdr:nvSpPr>
            <xdr:cNvPr id="9220" name="Drop Down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200025</xdr:rowOff>
    </xdr:from>
    <xdr:to>
      <xdr:col>5</xdr:col>
      <xdr:colOff>100646</xdr:colOff>
      <xdr:row>2</xdr:row>
      <xdr:rowOff>38100</xdr:rowOff>
    </xdr:to>
    <xdr:pic>
      <xdr:nvPicPr>
        <xdr:cNvPr id="4" name="image2.jpg"/>
        <xdr:cNvPicPr/>
      </xdr:nvPicPr>
      <xdr:blipFill rotWithShape="1">
        <a:blip xmlns:r="http://schemas.openxmlformats.org/officeDocument/2006/relationships" r:embed="rId1" cstate="print"/>
        <a:srcRect l="9730" t="8220" r="5248" b="15068"/>
        <a:stretch/>
      </xdr:blipFill>
      <xdr:spPr>
        <a:xfrm>
          <a:off x="123825" y="200025"/>
          <a:ext cx="1805621" cy="85725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209550</xdr:rowOff>
    </xdr:from>
    <xdr:to>
      <xdr:col>5</xdr:col>
      <xdr:colOff>72071</xdr:colOff>
      <xdr:row>2</xdr:row>
      <xdr:rowOff>47625</xdr:rowOff>
    </xdr:to>
    <xdr:pic>
      <xdr:nvPicPr>
        <xdr:cNvPr id="4" name="image2.jpg"/>
        <xdr:cNvPicPr/>
      </xdr:nvPicPr>
      <xdr:blipFill rotWithShape="1">
        <a:blip xmlns:r="http://schemas.openxmlformats.org/officeDocument/2006/relationships" r:embed="rId1" cstate="print"/>
        <a:srcRect l="9730" t="8220" r="5248" b="15068"/>
        <a:stretch/>
      </xdr:blipFill>
      <xdr:spPr>
        <a:xfrm>
          <a:off x="114300" y="209550"/>
          <a:ext cx="1805621" cy="857250"/>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190501</xdr:colOff>
      <xdr:row>6</xdr:row>
      <xdr:rowOff>0</xdr:rowOff>
    </xdr:from>
    <xdr:to>
      <xdr:col>12</xdr:col>
      <xdr:colOff>432954</xdr:colOff>
      <xdr:row>13</xdr:row>
      <xdr:rowOff>113144</xdr:rowOff>
    </xdr:to>
    <xdr:pic>
      <xdr:nvPicPr>
        <xdr:cNvPr id="2" name="image2.jpg"/>
        <xdr:cNvPicPr/>
      </xdr:nvPicPr>
      <xdr:blipFill rotWithShape="1">
        <a:blip xmlns:r="http://schemas.openxmlformats.org/officeDocument/2006/relationships" r:embed="rId1"/>
        <a:srcRect l="9730" t="8220" r="5248" b="15068"/>
        <a:stretch/>
      </xdr:blipFill>
      <xdr:spPr>
        <a:xfrm>
          <a:off x="2628901" y="990600"/>
          <a:ext cx="3900053" cy="1846694"/>
        </a:xfrm>
        <a:prstGeom prst="rect">
          <a:avLst/>
        </a:prstGeom>
        <a:ln/>
      </xdr:spPr>
    </xdr:pic>
    <xdr:clientData/>
  </xdr:twoCellAnchor>
  <xdr:twoCellAnchor editAs="oneCell">
    <xdr:from>
      <xdr:col>1</xdr:col>
      <xdr:colOff>51954</xdr:colOff>
      <xdr:row>39</xdr:row>
      <xdr:rowOff>121226</xdr:rowOff>
    </xdr:from>
    <xdr:to>
      <xdr:col>16</xdr:col>
      <xdr:colOff>190500</xdr:colOff>
      <xdr:row>42</xdr:row>
      <xdr:rowOff>12730</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29" y="12808526"/>
          <a:ext cx="8491971" cy="63445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tabColor rgb="FF00B050"/>
  </sheetPr>
  <dimension ref="B5:Q64"/>
  <sheetViews>
    <sheetView showGridLines="0" tabSelected="1" zoomScale="85" zoomScaleNormal="85" zoomScalePageLayoutView="55" workbookViewId="0">
      <selection activeCell="Y20" sqref="Y20"/>
    </sheetView>
  </sheetViews>
  <sheetFormatPr defaultRowHeight="20.100000000000001" customHeight="1" x14ac:dyDescent="0.25"/>
  <cols>
    <col min="1" max="1" width="2.7109375" style="9" customWidth="1"/>
    <col min="2" max="2" width="3.42578125" style="9" customWidth="1"/>
    <col min="3" max="3" width="3" style="9" customWidth="1"/>
    <col min="4" max="16" width="9.140625" style="9"/>
    <col min="17" max="17" width="3.28515625" style="9" customWidth="1"/>
    <col min="18" max="18" width="2.7109375" style="9" customWidth="1"/>
    <col min="19" max="20" width="9.140625" style="9"/>
    <col min="21" max="21" width="10.140625" style="9" bestFit="1" customWidth="1"/>
    <col min="22" max="16384" width="9.140625" style="9"/>
  </cols>
  <sheetData>
    <row r="5" spans="2:17" ht="20.100000000000001" customHeight="1" x14ac:dyDescent="0.25">
      <c r="B5" s="658"/>
      <c r="C5" s="658"/>
      <c r="D5" s="658"/>
      <c r="E5" s="658"/>
      <c r="F5" s="658"/>
      <c r="G5" s="658"/>
      <c r="H5" s="658"/>
      <c r="I5" s="658"/>
      <c r="J5" s="658"/>
      <c r="K5" s="658"/>
      <c r="L5" s="658"/>
      <c r="M5" s="658"/>
      <c r="N5" s="658"/>
      <c r="O5" s="658"/>
      <c r="P5" s="658"/>
      <c r="Q5" s="658"/>
    </row>
    <row r="6" spans="2:17" ht="20.100000000000001" customHeight="1" x14ac:dyDescent="0.25">
      <c r="B6" s="658"/>
      <c r="C6" s="658"/>
      <c r="D6" s="658"/>
      <c r="E6" s="658"/>
      <c r="F6" s="658"/>
      <c r="G6" s="658"/>
      <c r="H6" s="658"/>
      <c r="I6" s="658"/>
      <c r="J6" s="658"/>
      <c r="K6" s="658"/>
      <c r="L6" s="658"/>
      <c r="M6" s="658"/>
      <c r="N6" s="658"/>
      <c r="O6" s="658"/>
      <c r="P6" s="658"/>
      <c r="Q6" s="658"/>
    </row>
    <row r="7" spans="2:17" ht="20.100000000000001" customHeight="1" x14ac:dyDescent="0.25">
      <c r="B7" s="658"/>
      <c r="C7" s="658"/>
      <c r="D7" s="658"/>
      <c r="E7" s="658"/>
      <c r="F7" s="658"/>
      <c r="G7" s="658"/>
      <c r="H7" s="658"/>
      <c r="I7" s="658"/>
      <c r="J7" s="658"/>
      <c r="K7" s="658"/>
      <c r="L7" s="658"/>
      <c r="M7" s="658"/>
      <c r="N7" s="658"/>
      <c r="O7" s="658"/>
      <c r="P7" s="658"/>
      <c r="Q7" s="658"/>
    </row>
    <row r="8" spans="2:17" ht="20.100000000000001" customHeight="1" x14ac:dyDescent="0.25">
      <c r="B8" s="658"/>
      <c r="C8" s="658"/>
      <c r="D8" s="658"/>
      <c r="E8" s="658"/>
      <c r="F8" s="658"/>
      <c r="G8" s="658"/>
      <c r="H8" s="658"/>
      <c r="I8" s="658"/>
      <c r="J8" s="658"/>
      <c r="K8" s="658"/>
      <c r="L8" s="658"/>
      <c r="M8" s="658"/>
      <c r="N8" s="658"/>
      <c r="O8" s="658"/>
      <c r="P8" s="658"/>
      <c r="Q8" s="658"/>
    </row>
    <row r="9" spans="2:17" ht="20.100000000000001" customHeight="1" x14ac:dyDescent="0.25">
      <c r="B9" s="658"/>
      <c r="C9" s="658"/>
      <c r="D9" s="658"/>
      <c r="E9" s="658"/>
      <c r="F9" s="658"/>
      <c r="G9" s="658"/>
      <c r="H9" s="658"/>
      <c r="I9" s="658"/>
      <c r="J9" s="658"/>
      <c r="K9" s="658"/>
      <c r="L9" s="658"/>
      <c r="M9" s="658"/>
      <c r="N9" s="658"/>
      <c r="O9" s="658"/>
      <c r="P9" s="658"/>
      <c r="Q9" s="658"/>
    </row>
    <row r="10" spans="2:17" ht="20.100000000000001" customHeight="1" x14ac:dyDescent="0.25">
      <c r="B10" s="658"/>
      <c r="C10" s="658"/>
      <c r="D10" s="658"/>
      <c r="E10" s="658"/>
      <c r="F10" s="658"/>
      <c r="G10" s="658"/>
      <c r="H10" s="658"/>
      <c r="I10" s="658"/>
      <c r="J10" s="658"/>
      <c r="K10" s="658"/>
      <c r="L10" s="658"/>
      <c r="M10" s="658"/>
      <c r="N10" s="658"/>
      <c r="O10" s="658"/>
      <c r="P10" s="658"/>
      <c r="Q10" s="658"/>
    </row>
    <row r="11" spans="2:17" ht="20.100000000000001" customHeight="1" x14ac:dyDescent="0.25">
      <c r="B11" s="658"/>
      <c r="C11" s="658"/>
      <c r="D11" s="658"/>
      <c r="E11" s="658"/>
      <c r="F11" s="658"/>
      <c r="G11" s="658"/>
      <c r="H11" s="658"/>
      <c r="I11" s="658"/>
      <c r="J11" s="658"/>
      <c r="K11" s="658"/>
      <c r="L11" s="658"/>
      <c r="M11" s="658"/>
      <c r="N11" s="658"/>
      <c r="O11" s="658"/>
      <c r="P11" s="658"/>
      <c r="Q11" s="658"/>
    </row>
    <row r="12" spans="2:17" ht="20.100000000000001" customHeight="1" x14ac:dyDescent="0.25">
      <c r="B12" s="658"/>
      <c r="C12" s="658"/>
      <c r="D12" s="658"/>
      <c r="E12" s="658"/>
      <c r="F12" s="658"/>
      <c r="G12" s="658"/>
      <c r="H12" s="658"/>
      <c r="I12" s="658"/>
      <c r="J12" s="658"/>
      <c r="K12" s="658"/>
      <c r="L12" s="658"/>
      <c r="M12" s="658"/>
      <c r="N12" s="658"/>
      <c r="O12" s="658"/>
      <c r="P12" s="658"/>
      <c r="Q12" s="658"/>
    </row>
    <row r="13" spans="2:17" ht="20.100000000000001" customHeight="1" x14ac:dyDescent="0.25">
      <c r="B13" s="658"/>
      <c r="C13" s="658"/>
      <c r="D13" s="658"/>
      <c r="E13" s="658"/>
      <c r="F13" s="658"/>
      <c r="G13" s="658"/>
      <c r="H13" s="658"/>
      <c r="I13" s="658"/>
      <c r="J13" s="658"/>
      <c r="K13" s="658"/>
      <c r="L13" s="658"/>
      <c r="M13" s="658"/>
      <c r="N13" s="658"/>
      <c r="O13" s="658"/>
      <c r="P13" s="658"/>
      <c r="Q13" s="658"/>
    </row>
    <row r="14" spans="2:17" ht="20.100000000000001" customHeight="1" x14ac:dyDescent="0.25">
      <c r="B14" s="658"/>
      <c r="C14" s="658"/>
      <c r="D14" s="658"/>
      <c r="E14" s="658"/>
      <c r="F14" s="658"/>
      <c r="G14" s="658"/>
      <c r="H14" s="658"/>
      <c r="I14" s="658"/>
      <c r="J14" s="658"/>
      <c r="K14" s="658"/>
      <c r="L14" s="658"/>
      <c r="M14" s="658"/>
      <c r="N14" s="658"/>
      <c r="O14" s="658"/>
      <c r="P14" s="658"/>
      <c r="Q14" s="658"/>
    </row>
    <row r="15" spans="2:17" ht="26.25" x14ac:dyDescent="0.25">
      <c r="B15" s="662" t="s">
        <v>61</v>
      </c>
      <c r="C15" s="662"/>
      <c r="D15" s="662"/>
      <c r="E15" s="662"/>
      <c r="F15" s="662"/>
      <c r="G15" s="662"/>
      <c r="H15" s="662"/>
      <c r="I15" s="662"/>
      <c r="J15" s="662"/>
      <c r="K15" s="662"/>
      <c r="L15" s="662"/>
      <c r="M15" s="662"/>
      <c r="N15" s="662"/>
      <c r="O15" s="662"/>
      <c r="P15" s="662"/>
      <c r="Q15" s="662"/>
    </row>
    <row r="16" spans="2:17" ht="26.25" x14ac:dyDescent="0.25">
      <c r="B16" s="663" t="s">
        <v>62</v>
      </c>
      <c r="C16" s="663"/>
      <c r="D16" s="663"/>
      <c r="E16" s="663"/>
      <c r="F16" s="663"/>
      <c r="G16" s="663"/>
      <c r="H16" s="663"/>
      <c r="I16" s="663"/>
      <c r="J16" s="663"/>
      <c r="K16" s="663"/>
      <c r="L16" s="663"/>
      <c r="M16" s="663"/>
      <c r="N16" s="663"/>
      <c r="O16" s="663"/>
      <c r="P16" s="663"/>
      <c r="Q16" s="663"/>
    </row>
    <row r="17" spans="2:17" s="91" customFormat="1" ht="11.25" x14ac:dyDescent="0.25"/>
    <row r="18" spans="2:17" ht="20.100000000000001" customHeight="1" x14ac:dyDescent="0.25">
      <c r="B18" s="664" t="str">
        <f>Translation!C30</f>
        <v>Projekt sofinanciral Evropski sklad za regionalni razvoj</v>
      </c>
      <c r="C18" s="664"/>
      <c r="D18" s="664"/>
      <c r="E18" s="664"/>
      <c r="F18" s="664"/>
      <c r="G18" s="664"/>
      <c r="H18" s="664"/>
      <c r="I18" s="664"/>
      <c r="J18" s="664"/>
      <c r="K18" s="664"/>
      <c r="L18" s="664"/>
      <c r="M18" s="664"/>
      <c r="N18" s="664"/>
      <c r="O18" s="664"/>
      <c r="P18" s="664"/>
      <c r="Q18" s="664"/>
    </row>
    <row r="22" spans="2:17" ht="19.5" customHeight="1" x14ac:dyDescent="0.25"/>
    <row r="25" spans="2:17" ht="59.25" customHeight="1" x14ac:dyDescent="0.25">
      <c r="B25" s="665" t="s">
        <v>64</v>
      </c>
      <c r="C25" s="665"/>
      <c r="D25" s="665"/>
      <c r="E25" s="665"/>
      <c r="F25" s="665"/>
      <c r="G25" s="665"/>
      <c r="H25" s="665"/>
      <c r="I25" s="665"/>
      <c r="J25" s="665"/>
      <c r="K25" s="665"/>
      <c r="L25" s="665"/>
      <c r="M25" s="665"/>
      <c r="N25" s="665"/>
      <c r="O25" s="665"/>
      <c r="P25" s="665"/>
      <c r="Q25" s="665"/>
    </row>
    <row r="26" spans="2:17" ht="57" customHeight="1" x14ac:dyDescent="0.25">
      <c r="B26" s="655" t="s">
        <v>65</v>
      </c>
      <c r="C26" s="655"/>
      <c r="D26" s="655"/>
      <c r="E26" s="655"/>
      <c r="F26" s="655"/>
      <c r="G26" s="655"/>
      <c r="H26" s="655"/>
      <c r="I26" s="655"/>
      <c r="J26" s="655"/>
      <c r="K26" s="655"/>
      <c r="L26" s="655"/>
      <c r="M26" s="655"/>
      <c r="N26" s="655"/>
      <c r="O26" s="655"/>
      <c r="P26" s="655"/>
      <c r="Q26" s="655"/>
    </row>
    <row r="30" spans="2:17" ht="20.100000000000001" customHeight="1" x14ac:dyDescent="0.25">
      <c r="B30" s="658" t="s">
        <v>66</v>
      </c>
      <c r="C30" s="658"/>
      <c r="D30" s="658"/>
      <c r="E30" s="658"/>
      <c r="F30" s="658"/>
      <c r="G30" s="658"/>
      <c r="H30" s="658"/>
      <c r="I30" s="658"/>
      <c r="J30" s="658"/>
      <c r="K30" s="658"/>
      <c r="L30" s="658"/>
      <c r="M30" s="658"/>
      <c r="N30" s="658"/>
      <c r="O30" s="658"/>
      <c r="P30" s="658"/>
      <c r="Q30" s="658"/>
    </row>
    <row r="33" spans="2:17" ht="19.5" customHeight="1" x14ac:dyDescent="0.25"/>
    <row r="34" spans="2:17" ht="19.5" customHeight="1" x14ac:dyDescent="0.25"/>
    <row r="35" spans="2:17" ht="19.5" customHeight="1" x14ac:dyDescent="0.25"/>
    <row r="47" spans="2:17" ht="20.100000000000001" customHeight="1" x14ac:dyDescent="0.25">
      <c r="B47" s="656"/>
      <c r="C47" s="656"/>
      <c r="D47" s="656"/>
      <c r="E47" s="656"/>
      <c r="F47" s="656"/>
      <c r="G47" s="656"/>
      <c r="H47" s="656"/>
      <c r="I47" s="656"/>
      <c r="J47" s="656"/>
      <c r="K47" s="656"/>
      <c r="L47" s="656"/>
      <c r="M47" s="656"/>
      <c r="N47" s="656"/>
      <c r="O47" s="656"/>
      <c r="P47" s="656"/>
      <c r="Q47" s="656"/>
    </row>
    <row r="48" spans="2:17" ht="20.100000000000001" customHeight="1" x14ac:dyDescent="0.25">
      <c r="B48" s="657"/>
      <c r="C48" s="657"/>
      <c r="D48" s="657"/>
      <c r="E48" s="657"/>
      <c r="F48" s="657"/>
      <c r="G48" s="657"/>
      <c r="H48" s="657"/>
      <c r="I48" s="657"/>
      <c r="J48" s="657"/>
      <c r="K48" s="657"/>
      <c r="L48" s="657"/>
      <c r="M48" s="657"/>
      <c r="N48" s="657"/>
      <c r="O48" s="657"/>
      <c r="P48" s="657"/>
      <c r="Q48" s="657"/>
    </row>
    <row r="49" spans="2:17" ht="20.100000000000001" customHeight="1" x14ac:dyDescent="0.25">
      <c r="B49" s="657"/>
      <c r="C49" s="657"/>
      <c r="D49" s="657"/>
      <c r="E49" s="657"/>
      <c r="F49" s="657"/>
      <c r="G49" s="657"/>
      <c r="H49" s="657"/>
      <c r="I49" s="657"/>
      <c r="J49" s="657"/>
      <c r="K49" s="657"/>
      <c r="L49" s="657"/>
      <c r="M49" s="657"/>
      <c r="N49" s="657"/>
      <c r="O49" s="657"/>
      <c r="P49" s="657"/>
      <c r="Q49" s="657"/>
    </row>
    <row r="50" spans="2:17" ht="20.100000000000001" customHeight="1" x14ac:dyDescent="0.25">
      <c r="B50" s="657"/>
      <c r="C50" s="657"/>
      <c r="D50" s="657"/>
      <c r="E50" s="657"/>
      <c r="F50" s="657"/>
      <c r="G50" s="657"/>
      <c r="H50" s="657"/>
      <c r="I50" s="657"/>
      <c r="J50" s="657"/>
      <c r="K50" s="657"/>
      <c r="L50" s="657"/>
      <c r="M50" s="657"/>
      <c r="N50" s="657"/>
      <c r="O50" s="657"/>
      <c r="P50" s="657"/>
      <c r="Q50" s="657"/>
    </row>
    <row r="53" spans="2:17" ht="20.100000000000001" hidden="1" customHeight="1" thickBot="1" x14ac:dyDescent="0.3"/>
    <row r="54" spans="2:17" s="105" customFormat="1" ht="20.100000000000001" hidden="1" customHeight="1" thickTop="1" x14ac:dyDescent="0.25"/>
    <row r="55" spans="2:17" ht="20.100000000000001" hidden="1" customHeight="1" x14ac:dyDescent="0.25">
      <c r="C55" s="659" t="s">
        <v>281</v>
      </c>
      <c r="D55" s="660"/>
      <c r="E55" s="661"/>
      <c r="F55" s="508">
        <v>6</v>
      </c>
    </row>
    <row r="56" spans="2:17" ht="20.100000000000001" hidden="1" customHeight="1" x14ac:dyDescent="0.25">
      <c r="C56" s="508">
        <v>1</v>
      </c>
      <c r="D56" s="509" t="str">
        <f>IF(G56="Language "&amp;C56,"",G56)</f>
        <v>English</v>
      </c>
      <c r="E56" s="503"/>
      <c r="F56" s="504"/>
      <c r="G56" s="118" t="str">
        <f>HLOOKUP(C56,Translation!$E$1:$L$2,2,FALSE)</f>
        <v>English</v>
      </c>
      <c r="H56" s="125"/>
      <c r="I56" s="125"/>
      <c r="J56" s="119"/>
    </row>
    <row r="57" spans="2:17" ht="20.100000000000001" hidden="1" customHeight="1" x14ac:dyDescent="0.25">
      <c r="C57" s="508">
        <v>2</v>
      </c>
      <c r="D57" s="509" t="str">
        <f t="shared" ref="D57:D63" si="0">IF(G57="Language "&amp;C57,"",G57)</f>
        <v>Español</v>
      </c>
      <c r="E57" s="503"/>
      <c r="F57" s="504"/>
      <c r="G57" s="118" t="str">
        <f>HLOOKUP(C57,Translation!$E$1:$L$2,2,FALSE)</f>
        <v>Español</v>
      </c>
      <c r="H57" s="125"/>
      <c r="I57" s="125"/>
      <c r="J57" s="119"/>
    </row>
    <row r="58" spans="2:17" ht="20.100000000000001" hidden="1" customHeight="1" x14ac:dyDescent="0.25">
      <c r="C58" s="508">
        <v>3</v>
      </c>
      <c r="D58" s="509" t="str">
        <f t="shared" si="0"/>
        <v>Français</v>
      </c>
      <c r="E58" s="503"/>
      <c r="F58" s="504"/>
      <c r="G58" s="118" t="str">
        <f>HLOOKUP(C58,Translation!$E$1:$L$2,2,FALSE)</f>
        <v>Français</v>
      </c>
      <c r="H58" s="125"/>
      <c r="I58" s="125"/>
      <c r="J58" s="119"/>
    </row>
    <row r="59" spans="2:17" ht="20.100000000000001" hidden="1" customHeight="1" x14ac:dyDescent="0.25">
      <c r="C59" s="508">
        <v>4</v>
      </c>
      <c r="D59" s="509" t="str">
        <f t="shared" si="0"/>
        <v>Greek/Ελληνικά</v>
      </c>
      <c r="E59" s="503"/>
      <c r="F59" s="504"/>
      <c r="G59" s="118" t="str">
        <f>HLOOKUP(C59,Translation!$E$1:$L$2,2,FALSE)</f>
        <v>Greek/Ελληνικά</v>
      </c>
      <c r="H59" s="125"/>
      <c r="I59" s="125"/>
      <c r="J59" s="119"/>
    </row>
    <row r="60" spans="2:17" ht="20.100000000000001" hidden="1" customHeight="1" x14ac:dyDescent="0.25">
      <c r="C60" s="508">
        <v>5</v>
      </c>
      <c r="D60" s="509" t="str">
        <f t="shared" si="0"/>
        <v>Italiano</v>
      </c>
      <c r="E60" s="503"/>
      <c r="F60" s="504"/>
      <c r="G60" s="118" t="str">
        <f>HLOOKUP(C60,Translation!$E$1:$L$2,2,FALSE)</f>
        <v>Italiano</v>
      </c>
      <c r="H60" s="125"/>
      <c r="I60" s="125"/>
      <c r="J60" s="119"/>
    </row>
    <row r="61" spans="2:17" ht="20.100000000000001" hidden="1" customHeight="1" x14ac:dyDescent="0.25">
      <c r="C61" s="508">
        <v>6</v>
      </c>
      <c r="D61" s="509" t="str">
        <f t="shared" si="0"/>
        <v>Slovenščina</v>
      </c>
      <c r="E61" s="503"/>
      <c r="F61" s="504"/>
      <c r="G61" s="118" t="str">
        <f>HLOOKUP(C61,Translation!$E$1:$L$2,2,FALSE)</f>
        <v>Slovenščina</v>
      </c>
      <c r="H61" s="125"/>
      <c r="I61" s="125"/>
      <c r="J61" s="119"/>
    </row>
    <row r="62" spans="2:17" ht="20.100000000000001" hidden="1" customHeight="1" x14ac:dyDescent="0.25">
      <c r="C62" s="508">
        <v>7</v>
      </c>
      <c r="D62" s="509" t="str">
        <f t="shared" si="0"/>
        <v>Srpski</v>
      </c>
      <c r="E62" s="503"/>
      <c r="F62" s="504"/>
      <c r="G62" s="118" t="str">
        <f>HLOOKUP(C62,Translation!$E$1:$L$2,2,FALSE)</f>
        <v>Srpski</v>
      </c>
      <c r="H62" s="125"/>
      <c r="I62" s="125"/>
      <c r="J62" s="119"/>
    </row>
    <row r="63" spans="2:17" ht="20.100000000000001" hidden="1" customHeight="1" x14ac:dyDescent="0.25">
      <c r="C63" s="508">
        <v>8</v>
      </c>
      <c r="D63" s="509" t="str">
        <f t="shared" si="0"/>
        <v/>
      </c>
      <c r="E63" s="503"/>
      <c r="F63" s="504"/>
      <c r="G63" s="118" t="str">
        <f>HLOOKUP(C63,Translation!$E$1:$L$2,2,FALSE)</f>
        <v>Language 8</v>
      </c>
      <c r="H63" s="125"/>
      <c r="I63" s="125"/>
      <c r="J63" s="119"/>
    </row>
    <row r="64" spans="2:17" ht="20.100000000000001" hidden="1" customHeight="1" x14ac:dyDescent="0.25"/>
  </sheetData>
  <sheetProtection password="CF79" sheet="1" objects="1" scenarios="1" selectLockedCells="1"/>
  <mergeCells count="9">
    <mergeCell ref="B26:Q26"/>
    <mergeCell ref="B47:Q50"/>
    <mergeCell ref="B30:Q30"/>
    <mergeCell ref="C55:E55"/>
    <mergeCell ref="B5:Q14"/>
    <mergeCell ref="B15:Q15"/>
    <mergeCell ref="B16:Q16"/>
    <mergeCell ref="B18:Q18"/>
    <mergeCell ref="B25:Q25"/>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D56:D6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7</xdr:col>
                    <xdr:colOff>66675</xdr:colOff>
                    <xdr:row>30</xdr:row>
                    <xdr:rowOff>47625</xdr:rowOff>
                  </from>
                  <to>
                    <xdr:col>11</xdr:col>
                    <xdr:colOff>371475</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tabColor rgb="FF00B050"/>
  </sheetPr>
  <dimension ref="B2:AB223"/>
  <sheetViews>
    <sheetView showGridLines="0" zoomScale="85" zoomScaleNormal="85" workbookViewId="0">
      <selection activeCell="G6" sqref="G6:P6"/>
    </sheetView>
  </sheetViews>
  <sheetFormatPr defaultRowHeight="20.100000000000001" customHeight="1" x14ac:dyDescent="0.25"/>
  <cols>
    <col min="1" max="1" width="2.7109375" style="9" customWidth="1"/>
    <col min="2" max="2" width="3.42578125" style="9" customWidth="1"/>
    <col min="3" max="3" width="3" style="9" customWidth="1"/>
    <col min="4" max="14" width="9.140625" style="9"/>
    <col min="15" max="15" width="9.140625" style="9" customWidth="1"/>
    <col min="16" max="16" width="9.140625" style="9"/>
    <col min="17" max="17" width="3.42578125" style="9" customWidth="1"/>
    <col min="18" max="18" width="2.7109375" style="9" customWidth="1"/>
    <col min="19" max="20" width="9.140625" style="9"/>
    <col min="21" max="21" width="10.140625" style="9" customWidth="1"/>
    <col min="22" max="16384" width="9.140625" style="9"/>
  </cols>
  <sheetData>
    <row r="2" spans="2:28" ht="60.75" customHeight="1" x14ac:dyDescent="0.25">
      <c r="H2" s="94"/>
      <c r="I2" s="94"/>
      <c r="J2" s="673" t="s">
        <v>74</v>
      </c>
      <c r="K2" s="674"/>
      <c r="L2" s="674"/>
      <c r="M2" s="674"/>
      <c r="N2" s="674"/>
      <c r="O2" s="674"/>
      <c r="P2" s="672" t="s">
        <v>64</v>
      </c>
      <c r="Q2" s="672"/>
    </row>
    <row r="4" spans="2:28" ht="20.100000000000001" customHeight="1" x14ac:dyDescent="0.25">
      <c r="B4" s="31"/>
      <c r="C4" s="32" t="str">
        <f>"1.  "&amp;Translation!C32</f>
        <v>1.  SPLOŠNE INFORMACIJE</v>
      </c>
      <c r="D4" s="32"/>
      <c r="E4" s="33"/>
      <c r="F4" s="33"/>
      <c r="G4" s="33"/>
      <c r="H4" s="33"/>
      <c r="I4" s="33"/>
      <c r="J4" s="33"/>
      <c r="K4" s="33"/>
      <c r="L4" s="33"/>
      <c r="M4" s="33"/>
      <c r="N4" s="33"/>
      <c r="O4" s="33"/>
      <c r="P4" s="33"/>
      <c r="Q4" s="34"/>
      <c r="S4" s="54"/>
    </row>
    <row r="5" spans="2:28" ht="15.75" x14ac:dyDescent="0.25">
      <c r="B5" s="35"/>
      <c r="C5" s="120"/>
      <c r="D5" s="120"/>
      <c r="E5" s="36"/>
      <c r="F5" s="36"/>
      <c r="G5" s="36"/>
      <c r="H5" s="36"/>
      <c r="I5" s="36"/>
      <c r="J5" s="36"/>
      <c r="K5" s="36"/>
      <c r="L5" s="36"/>
      <c r="M5" s="36"/>
      <c r="N5" s="36"/>
      <c r="O5" s="36"/>
      <c r="P5" s="36"/>
      <c r="Q5" s="37"/>
      <c r="S5" s="54"/>
    </row>
    <row r="6" spans="2:28" ht="15.75" x14ac:dyDescent="0.25">
      <c r="B6" s="35"/>
      <c r="C6" s="122"/>
      <c r="D6" s="120"/>
      <c r="E6" s="120"/>
      <c r="F6" s="123" t="str">
        <f>Translation!C33&amp;":  "</f>
        <v xml:space="preserve">Stavba:  </v>
      </c>
      <c r="G6" s="676"/>
      <c r="H6" s="676"/>
      <c r="I6" s="676"/>
      <c r="J6" s="676"/>
      <c r="K6" s="676"/>
      <c r="L6" s="676"/>
      <c r="M6" s="676"/>
      <c r="N6" s="676"/>
      <c r="O6" s="676"/>
      <c r="P6" s="676"/>
      <c r="Q6" s="37"/>
      <c r="S6" s="54"/>
    </row>
    <row r="7" spans="2:28" ht="8.1" customHeight="1" x14ac:dyDescent="0.25">
      <c r="B7" s="35"/>
      <c r="C7" s="122"/>
      <c r="D7" s="120"/>
      <c r="E7" s="120"/>
      <c r="F7" s="123"/>
      <c r="G7" s="39"/>
      <c r="H7" s="39"/>
      <c r="I7" s="39"/>
      <c r="J7" s="39"/>
      <c r="K7" s="39"/>
      <c r="L7" s="39"/>
      <c r="M7" s="39"/>
      <c r="N7" s="39"/>
      <c r="O7" s="39"/>
      <c r="P7" s="39"/>
      <c r="Q7" s="37"/>
    </row>
    <row r="8" spans="2:28" ht="15" customHeight="1" x14ac:dyDescent="0.25">
      <c r="B8" s="35"/>
      <c r="C8" s="122"/>
      <c r="D8" s="120"/>
      <c r="E8" s="120"/>
      <c r="F8" s="123" t="str">
        <f>Translation!C34&amp;":  "</f>
        <v xml:space="preserve">Naslov:  </v>
      </c>
      <c r="G8" s="676"/>
      <c r="H8" s="676"/>
      <c r="I8" s="676"/>
      <c r="J8" s="676"/>
      <c r="K8" s="676"/>
      <c r="L8" s="676"/>
      <c r="M8" s="676"/>
      <c r="N8" s="676"/>
      <c r="O8" s="676"/>
      <c r="P8" s="676"/>
      <c r="Q8" s="37"/>
      <c r="S8" s="668"/>
      <c r="T8" s="668"/>
      <c r="U8" s="668"/>
      <c r="V8" s="668"/>
      <c r="W8" s="668"/>
      <c r="X8" s="668"/>
      <c r="Y8" s="668"/>
      <c r="Z8" s="668"/>
      <c r="AA8" s="668"/>
      <c r="AB8" s="53"/>
    </row>
    <row r="9" spans="2:28" ht="8.1" customHeight="1" x14ac:dyDescent="0.25">
      <c r="B9" s="35"/>
      <c r="C9" s="122"/>
      <c r="D9" s="120"/>
      <c r="E9" s="120"/>
      <c r="F9" s="123"/>
      <c r="G9" s="39"/>
      <c r="H9" s="39"/>
      <c r="I9" s="39"/>
      <c r="J9" s="39"/>
      <c r="K9" s="39"/>
      <c r="L9" s="39"/>
      <c r="M9" s="39"/>
      <c r="N9" s="39"/>
      <c r="O9" s="39"/>
      <c r="P9" s="39"/>
      <c r="Q9" s="37"/>
      <c r="S9" s="668"/>
      <c r="T9" s="668"/>
      <c r="U9" s="668"/>
      <c r="V9" s="668"/>
      <c r="W9" s="668"/>
      <c r="X9" s="668"/>
      <c r="Y9" s="668"/>
      <c r="Z9" s="668"/>
      <c r="AA9" s="668"/>
      <c r="AB9" s="53"/>
    </row>
    <row r="10" spans="2:28" ht="15.75" x14ac:dyDescent="0.25">
      <c r="B10" s="35"/>
      <c r="C10" s="122"/>
      <c r="D10" s="120"/>
      <c r="E10" s="120"/>
      <c r="F10" s="123" t="str">
        <f>Translation!C35&amp;":  "</f>
        <v xml:space="preserve">Lastnik:  </v>
      </c>
      <c r="G10" s="676"/>
      <c r="H10" s="676"/>
      <c r="I10" s="676"/>
      <c r="J10" s="676"/>
      <c r="K10" s="676"/>
      <c r="L10" s="676"/>
      <c r="M10" s="676"/>
      <c r="N10" s="676"/>
      <c r="O10" s="676"/>
      <c r="P10" s="676"/>
      <c r="Q10" s="37"/>
      <c r="S10" s="668"/>
      <c r="T10" s="668"/>
      <c r="U10" s="668"/>
      <c r="V10" s="668"/>
      <c r="W10" s="668"/>
      <c r="X10" s="668"/>
      <c r="Y10" s="668"/>
      <c r="Z10" s="668"/>
      <c r="AA10" s="668"/>
      <c r="AB10" s="53"/>
    </row>
    <row r="11" spans="2:28" ht="20.100000000000001" customHeight="1" x14ac:dyDescent="0.25">
      <c r="B11" s="35"/>
      <c r="C11" s="122"/>
      <c r="D11" s="120"/>
      <c r="E11" s="120"/>
      <c r="F11" s="123"/>
      <c r="G11" s="39"/>
      <c r="H11" s="39"/>
      <c r="I11" s="39"/>
      <c r="J11" s="39"/>
      <c r="K11" s="39"/>
      <c r="L11" s="39"/>
      <c r="M11" s="39"/>
      <c r="N11" s="39"/>
      <c r="O11" s="39"/>
      <c r="P11" s="39"/>
      <c r="Q11" s="37"/>
      <c r="S11" s="668"/>
      <c r="T11" s="668"/>
      <c r="U11" s="668"/>
      <c r="V11" s="668"/>
      <c r="W11" s="668"/>
      <c r="X11" s="668"/>
      <c r="Y11" s="668"/>
      <c r="Z11" s="668"/>
      <c r="AA11" s="668"/>
    </row>
    <row r="12" spans="2:28" ht="15.75" x14ac:dyDescent="0.25">
      <c r="B12" s="35"/>
      <c r="C12" s="122"/>
      <c r="D12" s="120"/>
      <c r="E12" s="120"/>
      <c r="F12" s="123" t="str">
        <f>Translation!C38&amp;":  "</f>
        <v xml:space="preserve">Avtor:  </v>
      </c>
      <c r="G12" s="676"/>
      <c r="H12" s="676"/>
      <c r="I12" s="676"/>
      <c r="J12" s="676"/>
      <c r="K12" s="676"/>
      <c r="L12" s="676"/>
      <c r="M12" s="676"/>
      <c r="N12" s="676"/>
      <c r="O12" s="676"/>
      <c r="P12" s="676"/>
      <c r="Q12" s="37"/>
      <c r="S12" s="668"/>
      <c r="T12" s="668"/>
      <c r="U12" s="668"/>
      <c r="V12" s="668"/>
      <c r="W12" s="668"/>
      <c r="X12" s="668"/>
      <c r="Y12" s="668"/>
      <c r="Z12" s="668"/>
      <c r="AA12" s="668"/>
    </row>
    <row r="13" spans="2:28" ht="8.1" customHeight="1" x14ac:dyDescent="0.25">
      <c r="B13" s="35"/>
      <c r="C13" s="122"/>
      <c r="D13" s="120"/>
      <c r="E13" s="120"/>
      <c r="F13" s="123"/>
      <c r="G13" s="39"/>
      <c r="H13" s="39"/>
      <c r="I13" s="39"/>
      <c r="J13" s="39"/>
      <c r="K13" s="39"/>
      <c r="L13" s="39"/>
      <c r="M13" s="39"/>
      <c r="N13" s="39"/>
      <c r="O13" s="39"/>
      <c r="P13" s="39"/>
      <c r="Q13" s="37"/>
      <c r="S13" s="668"/>
      <c r="T13" s="668"/>
      <c r="U13" s="668"/>
      <c r="V13" s="668"/>
      <c r="W13" s="668"/>
      <c r="X13" s="668"/>
      <c r="Y13" s="668"/>
      <c r="Z13" s="668"/>
      <c r="AA13" s="668"/>
    </row>
    <row r="14" spans="2:28" ht="15" customHeight="1" x14ac:dyDescent="0.25">
      <c r="B14" s="35"/>
      <c r="C14" s="122"/>
      <c r="D14" s="120"/>
      <c r="E14" s="120"/>
      <c r="F14" s="123" t="str">
        <f>Translation!C36&amp;":  "</f>
        <v xml:space="preserve">Ustanova / Podjetje:  </v>
      </c>
      <c r="G14" s="676"/>
      <c r="H14" s="676"/>
      <c r="I14" s="676"/>
      <c r="J14" s="676"/>
      <c r="K14" s="676"/>
      <c r="L14" s="676"/>
      <c r="M14" s="676"/>
      <c r="N14" s="676"/>
      <c r="O14" s="676"/>
      <c r="P14" s="676"/>
      <c r="Q14" s="37"/>
      <c r="S14" s="668"/>
      <c r="T14" s="668"/>
      <c r="U14" s="668"/>
      <c r="V14" s="668"/>
      <c r="W14" s="668"/>
      <c r="X14" s="668"/>
      <c r="Y14" s="668"/>
      <c r="Z14" s="668"/>
      <c r="AA14" s="668"/>
    </row>
    <row r="15" spans="2:28" ht="8.1" customHeight="1" x14ac:dyDescent="0.25">
      <c r="B15" s="35"/>
      <c r="C15" s="122"/>
      <c r="D15" s="120"/>
      <c r="E15" s="120"/>
      <c r="F15" s="123"/>
      <c r="G15" s="39"/>
      <c r="H15" s="39"/>
      <c r="I15" s="39"/>
      <c r="J15" s="39"/>
      <c r="K15" s="39"/>
      <c r="L15" s="39"/>
      <c r="M15" s="39"/>
      <c r="N15" s="39"/>
      <c r="O15" s="39"/>
      <c r="P15" s="39"/>
      <c r="Q15" s="37"/>
      <c r="S15" s="668"/>
      <c r="T15" s="668"/>
      <c r="U15" s="668"/>
      <c r="V15" s="668"/>
      <c r="W15" s="668"/>
      <c r="X15" s="668"/>
      <c r="Y15" s="668"/>
      <c r="Z15" s="668"/>
      <c r="AA15" s="668"/>
    </row>
    <row r="16" spans="2:28" ht="15" customHeight="1" x14ac:dyDescent="0.25">
      <c r="B16" s="35"/>
      <c r="C16" s="122"/>
      <c r="D16" s="120"/>
      <c r="E16" s="120"/>
      <c r="F16" s="123" t="str">
        <f>Translation!C37&amp;":  "</f>
        <v xml:space="preserve">Telefonska številka / E-pošta:  </v>
      </c>
      <c r="G16" s="676"/>
      <c r="H16" s="676"/>
      <c r="I16" s="676"/>
      <c r="J16" s="676"/>
      <c r="K16" s="676"/>
      <c r="L16" s="676"/>
      <c r="M16" s="676"/>
      <c r="N16" s="676"/>
      <c r="O16" s="676"/>
      <c r="P16" s="676"/>
      <c r="Q16" s="37"/>
      <c r="S16" s="668"/>
      <c r="T16" s="668"/>
      <c r="U16" s="668"/>
      <c r="V16" s="668"/>
      <c r="W16" s="668"/>
      <c r="X16" s="668"/>
      <c r="Y16" s="668"/>
      <c r="Z16" s="668"/>
      <c r="AA16" s="668"/>
    </row>
    <row r="17" spans="2:27" ht="15" x14ac:dyDescent="0.25">
      <c r="B17" s="40"/>
      <c r="C17" s="41"/>
      <c r="D17" s="41"/>
      <c r="E17" s="41"/>
      <c r="F17" s="41"/>
      <c r="G17" s="41"/>
      <c r="H17" s="41"/>
      <c r="I17" s="41"/>
      <c r="J17" s="41"/>
      <c r="K17" s="41"/>
      <c r="L17" s="41"/>
      <c r="M17" s="41"/>
      <c r="N17" s="41"/>
      <c r="O17" s="41"/>
      <c r="P17" s="41"/>
      <c r="Q17" s="42"/>
      <c r="S17" s="668"/>
      <c r="T17" s="668"/>
      <c r="U17" s="668"/>
      <c r="V17" s="668"/>
      <c r="W17" s="668"/>
      <c r="X17" s="668"/>
      <c r="Y17" s="668"/>
      <c r="Z17" s="668"/>
      <c r="AA17" s="668"/>
    </row>
    <row r="19" spans="2:27" ht="20.100000000000001" customHeight="1" x14ac:dyDescent="0.25">
      <c r="B19" s="2"/>
      <c r="C19" s="20" t="str">
        <f>"2.  "&amp;Translation!C31</f>
        <v>2.  SPLOŠNE INFORMACIJE O STAVBI</v>
      </c>
      <c r="D19" s="20"/>
      <c r="E19" s="3"/>
      <c r="F19" s="3"/>
      <c r="G19" s="3"/>
      <c r="H19" s="3"/>
      <c r="I19" s="3"/>
      <c r="J19" s="3"/>
      <c r="K19" s="3"/>
      <c r="L19" s="3"/>
      <c r="M19" s="3"/>
      <c r="N19" s="3"/>
      <c r="O19" s="3"/>
      <c r="P19" s="3"/>
      <c r="Q19" s="4"/>
    </row>
    <row r="20" spans="2:27" ht="15" customHeight="1" x14ac:dyDescent="0.25">
      <c r="B20" s="5"/>
      <c r="C20" s="124"/>
      <c r="D20" s="124"/>
      <c r="E20" s="6"/>
      <c r="F20" s="6"/>
      <c r="G20" s="6"/>
      <c r="H20" s="6"/>
      <c r="I20" s="6"/>
      <c r="J20" s="6"/>
      <c r="K20" s="6"/>
      <c r="L20" s="6"/>
      <c r="M20" s="6"/>
      <c r="N20" s="6"/>
      <c r="O20" s="6"/>
      <c r="P20" s="6"/>
      <c r="Q20" s="7"/>
    </row>
    <row r="21" spans="2:27" ht="15" customHeight="1" x14ac:dyDescent="0.25">
      <c r="B21" s="5"/>
      <c r="C21" s="126" t="str">
        <f>Translation!C49&amp;":"</f>
        <v>Lokacija:</v>
      </c>
      <c r="D21" s="124"/>
      <c r="E21" s="675"/>
      <c r="F21" s="675"/>
      <c r="G21" s="675"/>
      <c r="H21" s="675"/>
      <c r="I21" s="6"/>
      <c r="J21" s="6"/>
      <c r="K21" s="129" t="str">
        <f>Translation!C39&amp;":"</f>
        <v>Vrsta stavbe:</v>
      </c>
      <c r="L21" s="6"/>
      <c r="M21" s="6"/>
      <c r="N21" s="6"/>
      <c r="O21" s="6"/>
      <c r="P21" s="6"/>
      <c r="Q21" s="7"/>
    </row>
    <row r="22" spans="2:27" ht="15" customHeight="1" x14ac:dyDescent="0.25">
      <c r="B22" s="5"/>
      <c r="C22" s="110"/>
      <c r="D22" s="124"/>
      <c r="E22" s="6"/>
      <c r="F22" s="6"/>
      <c r="G22" s="6"/>
      <c r="H22" s="6"/>
      <c r="I22" s="6"/>
      <c r="J22" s="6"/>
      <c r="K22" s="129"/>
      <c r="L22" s="6"/>
      <c r="M22" s="6"/>
      <c r="N22" s="6"/>
      <c r="O22" s="6"/>
      <c r="P22" s="6"/>
      <c r="Q22" s="7"/>
    </row>
    <row r="23" spans="2:27" ht="15" customHeight="1" x14ac:dyDescent="0.25">
      <c r="B23" s="5"/>
      <c r="C23" s="110"/>
      <c r="D23" s="124"/>
      <c r="E23" s="6"/>
      <c r="F23" s="6"/>
      <c r="G23" s="6"/>
      <c r="H23" s="6"/>
      <c r="I23" s="6"/>
      <c r="J23" s="6"/>
      <c r="K23" s="129" t="str">
        <f>Translation!C44&amp;":"</f>
        <v>Pozicija:</v>
      </c>
      <c r="L23" s="6"/>
      <c r="M23" s="6"/>
      <c r="N23" s="6"/>
      <c r="O23" s="6"/>
      <c r="P23" s="6"/>
      <c r="Q23" s="7"/>
    </row>
    <row r="24" spans="2:27" ht="15" customHeight="1" x14ac:dyDescent="0.25">
      <c r="B24" s="5"/>
      <c r="C24" s="110"/>
      <c r="D24" s="124"/>
      <c r="E24" s="6"/>
      <c r="F24" s="6"/>
      <c r="G24" s="6"/>
      <c r="H24" s="6"/>
      <c r="I24" s="6"/>
      <c r="J24" s="6"/>
      <c r="K24" s="6"/>
      <c r="L24" s="6"/>
      <c r="M24" s="6"/>
      <c r="N24" s="6"/>
      <c r="O24" s="6"/>
      <c r="P24" s="6"/>
      <c r="Q24" s="7"/>
    </row>
    <row r="25" spans="2:27" ht="15" customHeight="1" x14ac:dyDescent="0.25">
      <c r="B25" s="5"/>
      <c r="C25" s="110"/>
      <c r="D25" s="124"/>
      <c r="E25" s="6"/>
      <c r="F25" s="6"/>
      <c r="G25" s="6"/>
      <c r="H25" s="6"/>
      <c r="I25" s="6"/>
      <c r="J25" s="6"/>
      <c r="K25" s="129" t="str">
        <f>Translation!C48&amp;":"</f>
        <v>Zemljepisna širina:</v>
      </c>
      <c r="L25" s="6"/>
      <c r="M25" s="6"/>
      <c r="N25" s="6"/>
      <c r="O25" s="6"/>
      <c r="P25" s="6"/>
      <c r="Q25" s="7"/>
    </row>
    <row r="26" spans="2:27" ht="8.1" customHeight="1" x14ac:dyDescent="0.25">
      <c r="B26" s="5"/>
      <c r="C26" s="110"/>
      <c r="D26" s="124"/>
      <c r="E26" s="6"/>
      <c r="F26" s="6"/>
      <c r="G26" s="6"/>
      <c r="H26" s="6"/>
      <c r="I26" s="6"/>
      <c r="J26" s="6"/>
      <c r="K26" s="6"/>
      <c r="L26" s="6"/>
      <c r="M26" s="6"/>
      <c r="N26" s="6"/>
      <c r="O26" s="6"/>
      <c r="P26" s="6"/>
      <c r="Q26" s="7"/>
    </row>
    <row r="27" spans="2:27" ht="15.75" customHeight="1" x14ac:dyDescent="0.25">
      <c r="B27" s="5"/>
      <c r="C27" s="6"/>
      <c r="D27" s="6" t="str">
        <f>Translation!C50&amp;":"</f>
        <v>Temperaturni primankljaj (TP):</v>
      </c>
      <c r="E27" s="6"/>
      <c r="F27" s="6"/>
      <c r="G27" s="6"/>
      <c r="H27" s="6" t="str">
        <f>Translation!C51&amp;":"</f>
        <v>Leto igradnje:</v>
      </c>
      <c r="I27" s="6"/>
      <c r="J27" s="6"/>
      <c r="K27" s="6"/>
      <c r="L27" s="6"/>
      <c r="M27" s="6"/>
      <c r="N27" s="6"/>
      <c r="O27" s="6"/>
      <c r="P27" s="6"/>
      <c r="Q27" s="7"/>
      <c r="R27" s="197"/>
      <c r="S27" s="101"/>
    </row>
    <row r="28" spans="2:27" ht="8.1" customHeight="1" x14ac:dyDescent="0.25">
      <c r="B28" s="5"/>
      <c r="C28" s="6"/>
      <c r="D28" s="6"/>
      <c r="E28" s="6"/>
      <c r="F28" s="6"/>
      <c r="G28" s="6"/>
      <c r="H28" s="6"/>
      <c r="I28" s="6"/>
      <c r="J28" s="6"/>
      <c r="K28" s="6"/>
      <c r="L28" s="6"/>
      <c r="M28" s="6"/>
      <c r="N28" s="6"/>
      <c r="O28" s="6"/>
      <c r="P28" s="6"/>
      <c r="Q28" s="7"/>
      <c r="R28" s="197"/>
      <c r="S28" s="101"/>
    </row>
    <row r="29" spans="2:27" ht="15" customHeight="1" x14ac:dyDescent="0.25">
      <c r="B29" s="5"/>
      <c r="C29" s="6"/>
      <c r="D29" s="666"/>
      <c r="E29" s="667"/>
      <c r="F29" s="6" t="str">
        <f>" "&amp;Translation!C3</f>
        <v xml:space="preserve"> Kd</v>
      </c>
      <c r="G29" s="6"/>
      <c r="H29" s="670"/>
      <c r="I29" s="671"/>
      <c r="J29" s="6"/>
      <c r="K29" s="6"/>
      <c r="L29" s="6"/>
      <c r="M29" s="6"/>
      <c r="N29" s="6"/>
      <c r="O29" s="6"/>
      <c r="P29" s="6"/>
      <c r="Q29" s="7"/>
      <c r="R29" s="197"/>
      <c r="S29" s="101"/>
    </row>
    <row r="30" spans="2:27" ht="8.1" customHeight="1" x14ac:dyDescent="0.25">
      <c r="B30" s="5"/>
      <c r="C30" s="6"/>
      <c r="D30" s="6"/>
      <c r="E30" s="6"/>
      <c r="F30" s="6"/>
      <c r="G30" s="6"/>
      <c r="H30" s="6"/>
      <c r="I30" s="6"/>
      <c r="J30" s="6"/>
      <c r="K30" s="6"/>
      <c r="L30" s="6"/>
      <c r="M30" s="6"/>
      <c r="N30" s="6"/>
      <c r="O30" s="6"/>
      <c r="P30" s="6"/>
      <c r="Q30" s="7"/>
    </row>
    <row r="31" spans="2:27" ht="15.75" customHeight="1" x14ac:dyDescent="0.25">
      <c r="B31" s="5"/>
      <c r="C31" s="6"/>
      <c r="D31" s="6" t="str">
        <f>Translation!C53&amp;":"</f>
        <v>Neto uporabna površina:</v>
      </c>
      <c r="E31" s="6"/>
      <c r="F31" s="6"/>
      <c r="G31" s="6"/>
      <c r="H31" s="6" t="str">
        <f>Translation!C56&amp;":"</f>
        <v>Bruto tlorisna površina:</v>
      </c>
      <c r="I31" s="6"/>
      <c r="J31" s="6"/>
      <c r="K31" s="6" t="str">
        <f>Translation!C55&amp;":"</f>
        <v>Povprečna debelina zunanjih sten:</v>
      </c>
      <c r="L31" s="6"/>
      <c r="M31" s="6"/>
      <c r="N31" s="6"/>
      <c r="O31" s="6"/>
      <c r="P31" s="6"/>
      <c r="Q31" s="7"/>
    </row>
    <row r="32" spans="2:27" ht="8.1" customHeight="1" x14ac:dyDescent="0.25">
      <c r="B32" s="5"/>
      <c r="C32" s="6"/>
      <c r="D32" s="6"/>
      <c r="E32" s="6"/>
      <c r="F32" s="6"/>
      <c r="G32" s="6"/>
      <c r="H32" s="6"/>
      <c r="I32" s="6"/>
      <c r="J32" s="6"/>
      <c r="K32" s="6"/>
      <c r="L32" s="6"/>
      <c r="M32" s="6"/>
      <c r="N32" s="6"/>
      <c r="O32" s="6"/>
      <c r="P32" s="6"/>
      <c r="Q32" s="7"/>
    </row>
    <row r="33" spans="2:17" ht="15" customHeight="1" x14ac:dyDescent="0.25">
      <c r="B33" s="5"/>
      <c r="C33" s="6"/>
      <c r="D33" s="666"/>
      <c r="E33" s="667"/>
      <c r="F33" s="80" t="str">
        <f>" "&amp;Translation!C7</f>
        <v xml:space="preserve"> m²</v>
      </c>
      <c r="G33" s="6"/>
      <c r="H33" s="666"/>
      <c r="I33" s="667"/>
      <c r="J33" s="111" t="str">
        <f>" "&amp;Translation!C7&amp;" (*)"</f>
        <v xml:space="preserve"> m² (*)</v>
      </c>
      <c r="K33" s="666"/>
      <c r="L33" s="667"/>
      <c r="M33" s="110" t="str">
        <f>" "&amp;Translation!C8&amp;" (*)"</f>
        <v xml:space="preserve"> cm (*)</v>
      </c>
      <c r="N33" s="677" t="str">
        <f>"(*) "&amp;Translation!C57</f>
        <v>(*) Izbirni podatek, če neto notranja površina ni na voljo</v>
      </c>
      <c r="O33" s="677"/>
      <c r="P33" s="677"/>
      <c r="Q33" s="678"/>
    </row>
    <row r="34" spans="2:17" ht="8.1" customHeight="1" x14ac:dyDescent="0.25">
      <c r="B34" s="5"/>
      <c r="C34" s="6"/>
      <c r="D34" s="124"/>
      <c r="E34" s="6"/>
      <c r="F34" s="6"/>
      <c r="G34" s="6"/>
      <c r="H34" s="6"/>
      <c r="I34" s="6"/>
      <c r="J34" s="6"/>
      <c r="K34" s="6"/>
      <c r="L34" s="6"/>
      <c r="M34" s="6"/>
      <c r="N34" s="677"/>
      <c r="O34" s="677"/>
      <c r="P34" s="677"/>
      <c r="Q34" s="678"/>
    </row>
    <row r="35" spans="2:17" ht="15" customHeight="1" x14ac:dyDescent="0.25">
      <c r="B35" s="5"/>
      <c r="C35" s="6"/>
      <c r="D35" s="6" t="str">
        <f>Translation!C52&amp;":"</f>
        <v>Ogrevani volumen :</v>
      </c>
      <c r="E35" s="6"/>
      <c r="F35" s="6"/>
      <c r="G35" s="6"/>
      <c r="H35" s="6" t="str">
        <f>Translation!C54&amp;":"</f>
        <v>Št. ogrevanih nadstropij :</v>
      </c>
      <c r="I35" s="6"/>
      <c r="J35" s="6"/>
      <c r="K35" s="6"/>
      <c r="L35" s="6"/>
      <c r="M35" s="6"/>
      <c r="N35" s="677"/>
      <c r="O35" s="677"/>
      <c r="P35" s="677"/>
      <c r="Q35" s="678"/>
    </row>
    <row r="36" spans="2:17" ht="8.1" customHeight="1" x14ac:dyDescent="0.25">
      <c r="B36" s="5"/>
      <c r="C36" s="6"/>
      <c r="D36" s="6"/>
      <c r="E36" s="6"/>
      <c r="F36" s="6"/>
      <c r="G36" s="6"/>
      <c r="H36" s="6"/>
      <c r="I36" s="6"/>
      <c r="J36" s="6"/>
      <c r="K36" s="6"/>
      <c r="L36" s="6"/>
      <c r="M36" s="6"/>
      <c r="N36" s="677"/>
      <c r="O36" s="677"/>
      <c r="P36" s="677"/>
      <c r="Q36" s="678"/>
    </row>
    <row r="37" spans="2:17" ht="15" customHeight="1" x14ac:dyDescent="0.25">
      <c r="B37" s="5"/>
      <c r="C37" s="6"/>
      <c r="D37" s="666"/>
      <c r="E37" s="667"/>
      <c r="F37" s="81" t="str">
        <f>" "&amp;Translation!C6</f>
        <v xml:space="preserve"> m³</v>
      </c>
      <c r="G37" s="6"/>
      <c r="H37" s="666"/>
      <c r="I37" s="667"/>
      <c r="J37" s="127"/>
      <c r="K37" s="127"/>
      <c r="L37" s="127"/>
      <c r="M37" s="127"/>
      <c r="N37" s="677"/>
      <c r="O37" s="677"/>
      <c r="P37" s="677"/>
      <c r="Q37" s="678"/>
    </row>
    <row r="38" spans="2:17" ht="15" x14ac:dyDescent="0.25">
      <c r="B38" s="8"/>
      <c r="C38" s="1"/>
      <c r="D38" s="1"/>
      <c r="E38" s="1"/>
      <c r="F38" s="1"/>
      <c r="G38" s="1"/>
      <c r="H38" s="128"/>
      <c r="I38" s="128"/>
      <c r="J38" s="128"/>
      <c r="K38" s="1"/>
      <c r="L38" s="1"/>
      <c r="M38" s="1"/>
      <c r="N38" s="679"/>
      <c r="O38" s="679"/>
      <c r="P38" s="679"/>
      <c r="Q38" s="680"/>
    </row>
    <row r="40" spans="2:17" ht="20.100000000000001" customHeight="1" x14ac:dyDescent="0.25">
      <c r="B40" s="10"/>
      <c r="C40" s="19" t="str">
        <f>"3.A  "&amp;Translation!C58</f>
        <v>3.A  UKREPI ZA ZMANJŠANJE RABE - TOPLOTNA ENERGIJA</v>
      </c>
      <c r="D40" s="19"/>
      <c r="E40" s="11"/>
      <c r="F40" s="11"/>
      <c r="G40" s="11"/>
      <c r="H40" s="11"/>
      <c r="I40" s="11"/>
      <c r="J40" s="11"/>
      <c r="K40" s="11"/>
      <c r="L40" s="11"/>
      <c r="M40" s="11"/>
      <c r="N40" s="11"/>
      <c r="O40" s="11"/>
      <c r="P40" s="11"/>
      <c r="Q40" s="12"/>
    </row>
    <row r="41" spans="2:17" ht="8.1" customHeight="1" x14ac:dyDescent="0.25">
      <c r="B41" s="13"/>
      <c r="C41" s="14"/>
      <c r="D41" s="14"/>
      <c r="E41" s="14"/>
      <c r="F41" s="14"/>
      <c r="G41" s="14"/>
      <c r="H41" s="14"/>
      <c r="I41" s="14"/>
      <c r="J41" s="14"/>
      <c r="K41" s="14"/>
      <c r="L41" s="14"/>
      <c r="M41" s="14"/>
      <c r="N41" s="14"/>
      <c r="O41" s="14"/>
      <c r="P41" s="14"/>
      <c r="Q41" s="15"/>
    </row>
    <row r="42" spans="2:17" ht="15" x14ac:dyDescent="0.25">
      <c r="B42" s="13"/>
      <c r="C42" s="14" t="str">
        <f>Translation!C64&amp;" 1:"</f>
        <v>Energent 1:</v>
      </c>
      <c r="D42" s="14"/>
      <c r="E42" s="14"/>
      <c r="F42" s="14"/>
      <c r="G42" s="14"/>
      <c r="H42" s="669" t="str">
        <f>Translation!C60</f>
        <v>raba toplote</v>
      </c>
      <c r="I42" s="669"/>
      <c r="J42" s="669"/>
      <c r="K42" s="669"/>
      <c r="L42" s="121" t="str">
        <f>Translation!C28</f>
        <v>leto</v>
      </c>
      <c r="M42" s="669" t="str">
        <f>Translation!C63</f>
        <v>letni strošek</v>
      </c>
      <c r="N42" s="669"/>
      <c r="O42" s="669"/>
      <c r="P42" s="669"/>
      <c r="Q42" s="15"/>
    </row>
    <row r="43" spans="2:17" ht="8.1" customHeight="1" x14ac:dyDescent="0.25">
      <c r="B43" s="13"/>
      <c r="C43" s="14"/>
      <c r="D43" s="14"/>
      <c r="E43" s="14"/>
      <c r="F43" s="14"/>
      <c r="G43" s="14"/>
      <c r="H43" s="14"/>
      <c r="I43" s="14"/>
      <c r="J43" s="14"/>
      <c r="K43" s="14"/>
      <c r="L43" s="14"/>
      <c r="M43" s="14"/>
      <c r="N43" s="14"/>
      <c r="O43" s="14"/>
      <c r="P43" s="14"/>
      <c r="Q43" s="15"/>
    </row>
    <row r="44" spans="2:17" ht="15" x14ac:dyDescent="0.25">
      <c r="B44" s="13"/>
      <c r="C44" s="14"/>
      <c r="D44" s="14"/>
      <c r="E44" s="14"/>
      <c r="F44" s="14"/>
      <c r="G44" s="14"/>
      <c r="H44" s="14"/>
      <c r="I44" s="666"/>
      <c r="J44" s="667"/>
      <c r="K44" s="131" t="str">
        <f>VLOOKUP(E140,B141:D143,2,FALSE)</f>
        <v>Sm³</v>
      </c>
      <c r="L44" s="501"/>
      <c r="M44" s="14"/>
      <c r="N44" s="666"/>
      <c r="O44" s="667"/>
      <c r="P44" s="14" t="str">
        <f>" "&amp;Translation!C10</f>
        <v xml:space="preserve"> €</v>
      </c>
      <c r="Q44" s="15"/>
    </row>
    <row r="45" spans="2:17" ht="8.1" customHeight="1" x14ac:dyDescent="0.25">
      <c r="B45" s="13"/>
      <c r="C45" s="14"/>
      <c r="D45" s="14"/>
      <c r="E45" s="14"/>
      <c r="F45" s="14"/>
      <c r="G45" s="14"/>
      <c r="H45" s="14"/>
      <c r="I45" s="14"/>
      <c r="J45" s="14"/>
      <c r="K45" s="121"/>
      <c r="L45" s="499"/>
      <c r="M45" s="14"/>
      <c r="N45" s="14"/>
      <c r="O45" s="14"/>
      <c r="P45" s="14"/>
      <c r="Q45" s="15"/>
    </row>
    <row r="46" spans="2:17" ht="15" x14ac:dyDescent="0.25">
      <c r="B46" s="13"/>
      <c r="C46" s="14" t="str">
        <f>Translation!C62&amp;":"</f>
        <v>Merska enota:</v>
      </c>
      <c r="D46" s="14"/>
      <c r="E46" s="14"/>
      <c r="F46" s="14"/>
      <c r="G46" s="14"/>
      <c r="H46" s="14"/>
      <c r="I46" s="666"/>
      <c r="J46" s="667"/>
      <c r="K46" s="131" t="str">
        <f>K44</f>
        <v>Sm³</v>
      </c>
      <c r="L46" s="501"/>
      <c r="M46" s="14"/>
      <c r="N46" s="666"/>
      <c r="O46" s="667"/>
      <c r="P46" s="14" t="str">
        <f>" "&amp;Translation!C10</f>
        <v xml:space="preserve"> €</v>
      </c>
      <c r="Q46" s="15"/>
    </row>
    <row r="47" spans="2:17" ht="8.1" customHeight="1" x14ac:dyDescent="0.25">
      <c r="B47" s="13"/>
      <c r="C47" s="14"/>
      <c r="D47" s="14"/>
      <c r="E47" s="14"/>
      <c r="F47" s="14"/>
      <c r="G47" s="14"/>
      <c r="H47" s="14"/>
      <c r="I47" s="14"/>
      <c r="J47" s="14"/>
      <c r="K47" s="121"/>
      <c r="L47" s="499"/>
      <c r="M47" s="14"/>
      <c r="N47" s="14"/>
      <c r="O47" s="14"/>
      <c r="P47" s="14"/>
      <c r="Q47" s="15"/>
    </row>
    <row r="48" spans="2:17" ht="15" x14ac:dyDescent="0.25">
      <c r="B48" s="13"/>
      <c r="C48" s="14"/>
      <c r="D48" s="14"/>
      <c r="E48" s="14"/>
      <c r="F48" s="14"/>
      <c r="G48" s="14"/>
      <c r="H48" s="14"/>
      <c r="I48" s="666"/>
      <c r="J48" s="667"/>
      <c r="K48" s="131" t="str">
        <f>K44</f>
        <v>Sm³</v>
      </c>
      <c r="L48" s="501"/>
      <c r="M48" s="14"/>
      <c r="N48" s="666"/>
      <c r="O48" s="667"/>
      <c r="P48" s="14" t="str">
        <f>" "&amp;Translation!C10</f>
        <v xml:space="preserve"> €</v>
      </c>
      <c r="Q48" s="15"/>
    </row>
    <row r="49" spans="2:17" ht="8.1" customHeight="1" x14ac:dyDescent="0.25">
      <c r="B49" s="13"/>
      <c r="C49" s="14"/>
      <c r="D49" s="14"/>
      <c r="E49" s="14"/>
      <c r="F49" s="14"/>
      <c r="G49" s="14"/>
      <c r="H49" s="14"/>
      <c r="I49" s="14"/>
      <c r="J49" s="14"/>
      <c r="K49" s="14"/>
      <c r="L49" s="499"/>
      <c r="M49" s="14"/>
      <c r="N49" s="14"/>
      <c r="O49" s="14"/>
      <c r="P49" s="14"/>
      <c r="Q49" s="15"/>
    </row>
    <row r="50" spans="2:17" ht="15" customHeight="1" x14ac:dyDescent="0.25">
      <c r="B50" s="13"/>
      <c r="C50" s="14" t="str">
        <f>Translation!C65&amp;":"</f>
        <v>Vključno s sanitarno toplo vodo:</v>
      </c>
      <c r="D50" s="14"/>
      <c r="E50" s="14"/>
      <c r="F50" s="14"/>
      <c r="G50" s="14"/>
      <c r="H50" s="14"/>
      <c r="I50" s="14"/>
      <c r="J50" s="14"/>
      <c r="K50" s="14"/>
      <c r="L50" s="14"/>
      <c r="M50" s="14"/>
      <c r="N50" s="130" t="str">
        <f>Translation!C71&amp;" ("&amp;VLOOKUP(1,D83:H85,2,FALSE)&amp;"):"</f>
        <v>Strošek toplotne energije (0):</v>
      </c>
      <c r="O50" s="424" t="str">
        <f>IF(COUNTBLANK(N44:N48)=5,"",(VLOOKUP(1,D83:H85,5,FALSE)/VLOOKUP(1,D83:H85,3,FALSE))/VLOOKUP(E123,F124:K138,5,FALSE))</f>
        <v/>
      </c>
      <c r="P50" s="14" t="str">
        <f>" "&amp;Translation!C11</f>
        <v xml:space="preserve"> €/kWh</v>
      </c>
      <c r="Q50" s="15"/>
    </row>
    <row r="51" spans="2:17" ht="8.1" customHeight="1" x14ac:dyDescent="0.25">
      <c r="B51" s="13"/>
      <c r="C51" s="14"/>
      <c r="D51" s="14"/>
      <c r="E51" s="14"/>
      <c r="F51" s="14"/>
      <c r="G51" s="14"/>
      <c r="H51" s="14"/>
      <c r="I51" s="14"/>
      <c r="J51" s="14"/>
      <c r="K51" s="14"/>
      <c r="L51" s="14"/>
      <c r="M51" s="14"/>
      <c r="N51" s="14"/>
      <c r="O51" s="14"/>
      <c r="P51" s="14"/>
      <c r="Q51" s="15"/>
    </row>
    <row r="52" spans="2:17" ht="15" x14ac:dyDescent="0.25">
      <c r="B52" s="13"/>
      <c r="C52" s="14"/>
      <c r="D52" s="14"/>
      <c r="E52" s="14"/>
      <c r="F52" s="14"/>
      <c r="G52" s="14"/>
      <c r="H52" s="14"/>
      <c r="I52" s="14"/>
      <c r="J52" s="14"/>
      <c r="K52" s="14"/>
      <c r="L52" s="14"/>
      <c r="M52" s="14"/>
      <c r="N52" s="130"/>
      <c r="O52" s="130"/>
      <c r="P52" s="14"/>
      <c r="Q52" s="15"/>
    </row>
    <row r="53" spans="2:17" ht="8.1" customHeight="1" x14ac:dyDescent="0.25">
      <c r="B53" s="13"/>
      <c r="C53" s="14"/>
      <c r="D53" s="14"/>
      <c r="E53" s="14"/>
      <c r="F53" s="14"/>
      <c r="G53" s="14"/>
      <c r="H53" s="14"/>
      <c r="I53" s="14"/>
      <c r="J53" s="14"/>
      <c r="K53" s="14"/>
      <c r="L53" s="14"/>
      <c r="M53" s="14"/>
      <c r="N53" s="130"/>
      <c r="O53" s="130"/>
      <c r="P53" s="14"/>
      <c r="Q53" s="15"/>
    </row>
    <row r="54" spans="2:17" ht="8.1" customHeight="1" x14ac:dyDescent="0.25">
      <c r="B54" s="13"/>
      <c r="C54" s="14"/>
      <c r="D54" s="14"/>
      <c r="E54" s="14"/>
      <c r="F54" s="14"/>
      <c r="G54" s="14"/>
      <c r="H54" s="14"/>
      <c r="I54" s="14"/>
      <c r="J54" s="14"/>
      <c r="K54" s="14"/>
      <c r="L54" s="14"/>
      <c r="M54" s="14"/>
      <c r="N54" s="130"/>
      <c r="O54" s="130"/>
      <c r="P54" s="14"/>
      <c r="Q54" s="15"/>
    </row>
    <row r="55" spans="2:17" ht="15" x14ac:dyDescent="0.25">
      <c r="B55" s="13"/>
      <c r="C55" s="14"/>
      <c r="D55" s="14"/>
      <c r="E55" s="14"/>
      <c r="F55" s="14"/>
      <c r="G55" s="14"/>
      <c r="H55" s="14"/>
      <c r="I55" s="14"/>
      <c r="J55" s="14"/>
      <c r="K55" s="14"/>
      <c r="L55" s="14"/>
      <c r="M55" s="14"/>
      <c r="N55" s="14"/>
      <c r="O55" s="14"/>
      <c r="P55" s="14"/>
      <c r="Q55" s="15"/>
    </row>
    <row r="56" spans="2:17" ht="15" x14ac:dyDescent="0.25">
      <c r="B56" s="13"/>
      <c r="C56" s="14" t="str">
        <f>Translation!C64&amp;" 2 "&amp;Translation!C140&amp;":"</f>
        <v>Energent 2 (izbirno):</v>
      </c>
      <c r="D56" s="14"/>
      <c r="E56" s="14"/>
      <c r="F56" s="14"/>
      <c r="G56" s="14"/>
      <c r="H56" s="669" t="str">
        <f>H42</f>
        <v>raba toplote</v>
      </c>
      <c r="I56" s="669"/>
      <c r="J56" s="669"/>
      <c r="K56" s="669"/>
      <c r="L56" s="529" t="str">
        <f>L42</f>
        <v>leto</v>
      </c>
      <c r="M56" s="669" t="str">
        <f>M42</f>
        <v>letni strošek</v>
      </c>
      <c r="N56" s="669"/>
      <c r="O56" s="669"/>
      <c r="P56" s="669"/>
      <c r="Q56" s="15"/>
    </row>
    <row r="57" spans="2:17" ht="8.1" customHeight="1" x14ac:dyDescent="0.25">
      <c r="B57" s="13"/>
      <c r="C57" s="14"/>
      <c r="D57" s="14"/>
      <c r="E57" s="14"/>
      <c r="F57" s="14"/>
      <c r="G57" s="14"/>
      <c r="H57" s="14"/>
      <c r="I57" s="14"/>
      <c r="J57" s="14"/>
      <c r="K57" s="14"/>
      <c r="L57" s="14"/>
      <c r="M57" s="14"/>
      <c r="N57" s="14"/>
      <c r="O57" s="14"/>
      <c r="P57" s="14"/>
      <c r="Q57" s="15"/>
    </row>
    <row r="58" spans="2:17" ht="15" x14ac:dyDescent="0.25">
      <c r="B58" s="13"/>
      <c r="C58" s="14"/>
      <c r="D58" s="14"/>
      <c r="E58" s="14"/>
      <c r="F58" s="14"/>
      <c r="G58" s="14"/>
      <c r="H58" s="14"/>
      <c r="I58" s="666"/>
      <c r="J58" s="667"/>
      <c r="K58" s="131" t="str">
        <f>VLOOKUP(E168,B169:C171,2,FALSE)</f>
        <v>Sm³</v>
      </c>
      <c r="L58" s="552" t="str">
        <f>IF(N58="","",IF(L44="","",L44))</f>
        <v/>
      </c>
      <c r="M58" s="14"/>
      <c r="N58" s="666"/>
      <c r="O58" s="667"/>
      <c r="P58" s="14" t="str">
        <f>P44</f>
        <v xml:space="preserve"> €</v>
      </c>
      <c r="Q58" s="15"/>
    </row>
    <row r="59" spans="2:17" ht="8.1" customHeight="1" x14ac:dyDescent="0.25">
      <c r="B59" s="13"/>
      <c r="C59" s="14"/>
      <c r="D59" s="14"/>
      <c r="E59" s="14"/>
      <c r="F59" s="14"/>
      <c r="G59" s="14"/>
      <c r="H59" s="14"/>
      <c r="I59" s="14"/>
      <c r="J59" s="14"/>
      <c r="K59" s="529"/>
      <c r="L59" s="499"/>
      <c r="M59" s="14"/>
      <c r="N59" s="14"/>
      <c r="O59" s="14"/>
      <c r="P59" s="14"/>
      <c r="Q59" s="15"/>
    </row>
    <row r="60" spans="2:17" ht="15" x14ac:dyDescent="0.25">
      <c r="B60" s="13"/>
      <c r="C60" s="14" t="str">
        <f>C46</f>
        <v>Merska enota:</v>
      </c>
      <c r="D60" s="14"/>
      <c r="E60" s="14"/>
      <c r="F60" s="14"/>
      <c r="G60" s="14"/>
      <c r="H60" s="14"/>
      <c r="I60" s="666"/>
      <c r="J60" s="667"/>
      <c r="K60" s="131" t="str">
        <f>K58</f>
        <v>Sm³</v>
      </c>
      <c r="L60" s="552" t="str">
        <f>IF(N60="","",IF(L46="","",L46))</f>
        <v/>
      </c>
      <c r="M60" s="14"/>
      <c r="N60" s="666"/>
      <c r="O60" s="667"/>
      <c r="P60" s="14" t="str">
        <f>P46</f>
        <v xml:space="preserve"> €</v>
      </c>
      <c r="Q60" s="15"/>
    </row>
    <row r="61" spans="2:17" ht="8.1" customHeight="1" x14ac:dyDescent="0.25">
      <c r="B61" s="13"/>
      <c r="C61" s="14"/>
      <c r="D61" s="14"/>
      <c r="E61" s="14"/>
      <c r="F61" s="14"/>
      <c r="G61" s="14"/>
      <c r="H61" s="14"/>
      <c r="I61" s="14"/>
      <c r="J61" s="14"/>
      <c r="K61" s="529"/>
      <c r="L61" s="499"/>
      <c r="M61" s="14"/>
      <c r="N61" s="14"/>
      <c r="O61" s="14"/>
      <c r="P61" s="14"/>
      <c r="Q61" s="15"/>
    </row>
    <row r="62" spans="2:17" ht="15" x14ac:dyDescent="0.25">
      <c r="B62" s="13"/>
      <c r="C62" s="14"/>
      <c r="D62" s="14"/>
      <c r="E62" s="14"/>
      <c r="F62" s="14"/>
      <c r="G62" s="14"/>
      <c r="H62" s="14"/>
      <c r="I62" s="666"/>
      <c r="J62" s="667"/>
      <c r="K62" s="131" t="str">
        <f>K58</f>
        <v>Sm³</v>
      </c>
      <c r="L62" s="552" t="str">
        <f>IF(N62="","",IF(L48="","",L48))</f>
        <v/>
      </c>
      <c r="M62" s="14"/>
      <c r="N62" s="666"/>
      <c r="O62" s="667"/>
      <c r="P62" s="14" t="str">
        <f>P48</f>
        <v xml:space="preserve"> €</v>
      </c>
      <c r="Q62" s="15"/>
    </row>
    <row r="63" spans="2:17" ht="8.1" customHeight="1" x14ac:dyDescent="0.25">
      <c r="B63" s="13"/>
      <c r="C63" s="14"/>
      <c r="D63" s="14"/>
      <c r="E63" s="14"/>
      <c r="F63" s="14"/>
      <c r="G63" s="14"/>
      <c r="H63" s="14"/>
      <c r="I63" s="14"/>
      <c r="J63" s="14"/>
      <c r="K63" s="14"/>
      <c r="L63" s="499"/>
      <c r="M63" s="14"/>
      <c r="N63" s="14"/>
      <c r="O63" s="14"/>
      <c r="P63" s="14"/>
      <c r="Q63" s="15"/>
    </row>
    <row r="64" spans="2:17" ht="15" x14ac:dyDescent="0.25">
      <c r="B64" s="13"/>
      <c r="C64" s="14"/>
      <c r="D64" s="14"/>
      <c r="E64" s="14"/>
      <c r="F64" s="14"/>
      <c r="G64" s="14"/>
      <c r="H64" s="14"/>
      <c r="I64" s="14"/>
      <c r="J64" s="14"/>
      <c r="K64" s="14"/>
      <c r="L64" s="14"/>
      <c r="M64" s="14"/>
      <c r="N64" s="130" t="str">
        <f>Translation!C71&amp;" ("&amp;VLOOKUP(1,J83:N85,2,FALSE)&amp;"):"</f>
        <v>Strošek toplotne energije (0):</v>
      </c>
      <c r="O64" s="424" t="str">
        <f>IF(COUNTBLANK(N58:N62)=5,"",(VLOOKUP(1,J83:N85,5,FALSE)/VLOOKUP(1,J83:N85,3,FALSE))/VLOOKUP(E151,F152:K166,5,FALSE))</f>
        <v/>
      </c>
      <c r="P64" s="14" t="str">
        <f>P50</f>
        <v xml:space="preserve"> €/kWh</v>
      </c>
      <c r="Q64" s="15"/>
    </row>
    <row r="65" spans="2:21" ht="15" x14ac:dyDescent="0.25">
      <c r="B65" s="16"/>
      <c r="C65" s="17"/>
      <c r="D65" s="17"/>
      <c r="E65" s="17"/>
      <c r="F65" s="17"/>
      <c r="G65" s="17"/>
      <c r="H65" s="17"/>
      <c r="I65" s="17"/>
      <c r="J65" s="17"/>
      <c r="K65" s="17"/>
      <c r="L65" s="17"/>
      <c r="M65" s="17"/>
      <c r="N65" s="132"/>
      <c r="O65" s="132"/>
      <c r="P65" s="17"/>
      <c r="Q65" s="18"/>
    </row>
    <row r="66" spans="2:21" s="101" customFormat="1" ht="20.100000000000001" customHeight="1" x14ac:dyDescent="0.25"/>
    <row r="67" spans="2:21" ht="20.100000000000001" customHeight="1" x14ac:dyDescent="0.25">
      <c r="B67" s="10"/>
      <c r="C67" s="19" t="str">
        <f>"3.B  "&amp;Translation!C59</f>
        <v>3.B  UKREPI ZA ZMANJŠANJERABE - ELEKTRIČNA ENERGIJA</v>
      </c>
      <c r="D67" s="11"/>
      <c r="E67" s="11"/>
      <c r="F67" s="11"/>
      <c r="G67" s="11"/>
      <c r="H67" s="11"/>
      <c r="I67" s="11"/>
      <c r="J67" s="11"/>
      <c r="K67" s="11"/>
      <c r="L67" s="11"/>
      <c r="M67" s="11"/>
      <c r="N67" s="11"/>
      <c r="O67" s="11"/>
      <c r="P67" s="11"/>
      <c r="Q67" s="12"/>
    </row>
    <row r="68" spans="2:21" ht="8.1" customHeight="1" x14ac:dyDescent="0.25">
      <c r="B68" s="13"/>
      <c r="C68" s="14"/>
      <c r="D68" s="14"/>
      <c r="E68" s="14"/>
      <c r="F68" s="14"/>
      <c r="G68" s="14"/>
      <c r="H68" s="14"/>
      <c r="I68" s="14"/>
      <c r="J68" s="14"/>
      <c r="K68" s="14"/>
      <c r="L68" s="14"/>
      <c r="M68" s="14"/>
      <c r="N68" s="14"/>
      <c r="O68" s="14"/>
      <c r="P68" s="14"/>
      <c r="Q68" s="15"/>
    </row>
    <row r="69" spans="2:21" ht="15" x14ac:dyDescent="0.25">
      <c r="B69" s="13"/>
      <c r="C69" s="14"/>
      <c r="D69" s="14"/>
      <c r="E69" s="14"/>
      <c r="F69" s="14"/>
      <c r="G69" s="14"/>
      <c r="H69" s="669" t="str">
        <f>Translation!C61</f>
        <v>raba elektrike</v>
      </c>
      <c r="I69" s="669"/>
      <c r="J69" s="669"/>
      <c r="K69" s="669"/>
      <c r="L69" s="526" t="str">
        <f>Translation!C28</f>
        <v>leto</v>
      </c>
      <c r="M69" s="669" t="str">
        <f>Translation!C63</f>
        <v>letni strošek</v>
      </c>
      <c r="N69" s="669"/>
      <c r="O69" s="669"/>
      <c r="P69" s="669"/>
      <c r="Q69" s="15"/>
      <c r="U69" s="86"/>
    </row>
    <row r="70" spans="2:21" ht="8.1" customHeight="1" x14ac:dyDescent="0.25">
      <c r="B70" s="13"/>
      <c r="C70" s="14"/>
      <c r="D70" s="14"/>
      <c r="E70" s="14"/>
      <c r="F70" s="14"/>
      <c r="G70" s="14"/>
      <c r="H70" s="14"/>
      <c r="I70" s="14"/>
      <c r="J70" s="121"/>
      <c r="K70" s="121"/>
      <c r="L70" s="121"/>
      <c r="M70" s="14"/>
      <c r="N70" s="14"/>
      <c r="O70" s="14"/>
      <c r="P70" s="14"/>
      <c r="Q70" s="15"/>
    </row>
    <row r="71" spans="2:21" ht="15" x14ac:dyDescent="0.25">
      <c r="B71" s="13"/>
      <c r="C71" s="14"/>
      <c r="D71" s="14"/>
      <c r="E71" s="14"/>
      <c r="F71" s="14"/>
      <c r="G71" s="14"/>
      <c r="H71" s="14"/>
      <c r="I71" s="666"/>
      <c r="J71" s="667"/>
      <c r="K71" s="131" t="str">
        <f>Translation!C15</f>
        <v>kWh</v>
      </c>
      <c r="L71" s="501"/>
      <c r="M71" s="14"/>
      <c r="N71" s="666"/>
      <c r="O71" s="667"/>
      <c r="P71" s="14" t="str">
        <f>" "&amp;Translation!C10</f>
        <v xml:space="preserve"> €</v>
      </c>
      <c r="Q71" s="15"/>
      <c r="U71" s="86"/>
    </row>
    <row r="72" spans="2:21" ht="8.1" customHeight="1" x14ac:dyDescent="0.25">
      <c r="B72" s="13"/>
      <c r="C72" s="14"/>
      <c r="D72" s="14"/>
      <c r="E72" s="14"/>
      <c r="F72" s="14"/>
      <c r="G72" s="14"/>
      <c r="H72" s="14"/>
      <c r="I72" s="14"/>
      <c r="J72" s="14"/>
      <c r="K72" s="121"/>
      <c r="L72" s="500"/>
      <c r="M72" s="14"/>
      <c r="N72" s="14"/>
      <c r="O72" s="14"/>
      <c r="P72" s="14"/>
      <c r="Q72" s="15"/>
    </row>
    <row r="73" spans="2:21" ht="15" x14ac:dyDescent="0.25">
      <c r="B73" s="13"/>
      <c r="C73" s="14"/>
      <c r="D73" s="14"/>
      <c r="E73" s="14"/>
      <c r="F73" s="14"/>
      <c r="G73" s="14"/>
      <c r="H73" s="14"/>
      <c r="I73" s="666"/>
      <c r="J73" s="667"/>
      <c r="K73" s="131" t="str">
        <f>K71</f>
        <v>kWh</v>
      </c>
      <c r="L73" s="501"/>
      <c r="M73" s="14"/>
      <c r="N73" s="666"/>
      <c r="O73" s="667"/>
      <c r="P73" s="14" t="str">
        <f>" "&amp;Translation!C10</f>
        <v xml:space="preserve"> €</v>
      </c>
      <c r="Q73" s="15"/>
    </row>
    <row r="74" spans="2:21" ht="8.1" customHeight="1" x14ac:dyDescent="0.25">
      <c r="B74" s="13"/>
      <c r="C74" s="14"/>
      <c r="D74" s="14"/>
      <c r="E74" s="14"/>
      <c r="F74" s="14"/>
      <c r="G74" s="14"/>
      <c r="H74" s="14"/>
      <c r="I74" s="14"/>
      <c r="J74" s="14"/>
      <c r="K74" s="121"/>
      <c r="L74" s="500"/>
      <c r="M74" s="14"/>
      <c r="N74" s="14"/>
      <c r="O74" s="14"/>
      <c r="P74" s="14"/>
      <c r="Q74" s="15"/>
    </row>
    <row r="75" spans="2:21" ht="15" x14ac:dyDescent="0.25">
      <c r="B75" s="13"/>
      <c r="C75" s="14"/>
      <c r="D75" s="14"/>
      <c r="E75" s="14"/>
      <c r="F75" s="14"/>
      <c r="G75" s="14"/>
      <c r="H75" s="14"/>
      <c r="I75" s="666"/>
      <c r="J75" s="667"/>
      <c r="K75" s="131" t="str">
        <f>K71</f>
        <v>kWh</v>
      </c>
      <c r="L75" s="501"/>
      <c r="M75" s="14"/>
      <c r="N75" s="666"/>
      <c r="O75" s="667"/>
      <c r="P75" s="14" t="str">
        <f>" "&amp;Translation!C10</f>
        <v xml:space="preserve"> €</v>
      </c>
      <c r="Q75" s="15"/>
    </row>
    <row r="76" spans="2:21" ht="8.1" customHeight="1" x14ac:dyDescent="0.25">
      <c r="B76" s="13"/>
      <c r="C76" s="14"/>
      <c r="D76" s="14"/>
      <c r="E76" s="14"/>
      <c r="F76" s="14"/>
      <c r="G76" s="14"/>
      <c r="H76" s="14"/>
      <c r="I76" s="14"/>
      <c r="J76" s="14"/>
      <c r="K76" s="14"/>
      <c r="L76" s="14"/>
      <c r="M76" s="14"/>
      <c r="N76" s="14"/>
      <c r="O76" s="14"/>
      <c r="P76" s="14"/>
      <c r="Q76" s="15"/>
    </row>
    <row r="77" spans="2:21" ht="15" x14ac:dyDescent="0.25">
      <c r="B77" s="13"/>
      <c r="C77" s="14"/>
      <c r="D77" s="14"/>
      <c r="E77" s="14"/>
      <c r="F77" s="14"/>
      <c r="G77" s="14"/>
      <c r="H77" s="14"/>
      <c r="I77" s="14"/>
      <c r="J77" s="14"/>
      <c r="K77" s="14"/>
      <c r="L77" s="14"/>
      <c r="M77" s="14"/>
      <c r="N77" s="130" t="str">
        <f>Translation!C72&amp;" ("&amp;VLOOKUP(1,D87:H89,2,FALSE)&amp;"):"</f>
        <v>Strošek električne energije (0):</v>
      </c>
      <c r="O77" s="424" t="str">
        <f>IF(COUNTBLANK(N71:N75)=5,"",VLOOKUP(1,D87:H89,5,FALSE)/VLOOKUP(1,D87:H89,3,FALSE))</f>
        <v/>
      </c>
      <c r="P77" s="14" t="str">
        <f>" "&amp;Translation!C11</f>
        <v xml:space="preserve"> €/kWh</v>
      </c>
      <c r="Q77" s="15"/>
    </row>
    <row r="78" spans="2:21" ht="15" x14ac:dyDescent="0.25">
      <c r="B78" s="16"/>
      <c r="C78" s="17"/>
      <c r="D78" s="17"/>
      <c r="E78" s="17"/>
      <c r="F78" s="17"/>
      <c r="G78" s="17"/>
      <c r="H78" s="17"/>
      <c r="I78" s="17"/>
      <c r="J78" s="17"/>
      <c r="K78" s="17"/>
      <c r="L78" s="17"/>
      <c r="M78" s="17"/>
      <c r="N78" s="17"/>
      <c r="O78" s="17"/>
      <c r="P78" s="17"/>
      <c r="Q78" s="18"/>
    </row>
    <row r="81" spans="2:15" s="106" customFormat="1" ht="20.100000000000001" hidden="1" customHeight="1" thickBot="1" x14ac:dyDescent="0.3"/>
    <row r="82" spans="2:15" ht="20.100000000000001" hidden="1" customHeight="1" thickTop="1" x14ac:dyDescent="0.25"/>
    <row r="83" spans="2:15" ht="15" hidden="1" customHeight="1" x14ac:dyDescent="0.25">
      <c r="D83" s="92">
        <f>IF(E83=MAX($G$83:$G$85),1,0)</f>
        <v>1</v>
      </c>
      <c r="E83" s="498">
        <f>L44</f>
        <v>0</v>
      </c>
      <c r="F83" s="498">
        <f>I44</f>
        <v>0</v>
      </c>
      <c r="G83" s="498">
        <f>L44</f>
        <v>0</v>
      </c>
      <c r="H83" s="498">
        <f>N44</f>
        <v>0</v>
      </c>
      <c r="J83" s="92">
        <f>IF(K83=MAX($M$83:$M$85),1,0)</f>
        <v>1</v>
      </c>
      <c r="K83" s="498">
        <f>IF(L58="",0,L58)</f>
        <v>0</v>
      </c>
      <c r="L83" s="498">
        <f>I58</f>
        <v>0</v>
      </c>
      <c r="M83" s="498">
        <f>K83</f>
        <v>0</v>
      </c>
      <c r="N83" s="498">
        <f>N58</f>
        <v>0</v>
      </c>
    </row>
    <row r="84" spans="2:15" ht="15" hidden="1" customHeight="1" x14ac:dyDescent="0.25">
      <c r="D84" s="92">
        <f t="shared" ref="D84:D85" si="0">IF(E84=MAX($G$83:$G$85),1,0)</f>
        <v>1</v>
      </c>
      <c r="E84" s="498">
        <f>L46</f>
        <v>0</v>
      </c>
      <c r="F84" s="498">
        <f>I46</f>
        <v>0</v>
      </c>
      <c r="G84" s="498">
        <f>L46</f>
        <v>0</v>
      </c>
      <c r="H84" s="498">
        <f>N46</f>
        <v>0</v>
      </c>
      <c r="J84" s="92">
        <f t="shared" ref="J84:J85" si="1">IF(K84=MAX($M$83:$M$85),1,0)</f>
        <v>1</v>
      </c>
      <c r="K84" s="498">
        <f>IF(L60="",0,L60)</f>
        <v>0</v>
      </c>
      <c r="L84" s="498">
        <f>I60</f>
        <v>0</v>
      </c>
      <c r="M84" s="498">
        <f t="shared" ref="M84:M85" si="2">K84</f>
        <v>0</v>
      </c>
      <c r="N84" s="498">
        <f>N60</f>
        <v>0</v>
      </c>
    </row>
    <row r="85" spans="2:15" ht="15" hidden="1" customHeight="1" x14ac:dyDescent="0.25">
      <c r="D85" s="92">
        <f t="shared" si="0"/>
        <v>1</v>
      </c>
      <c r="E85" s="498">
        <f>L48</f>
        <v>0</v>
      </c>
      <c r="F85" s="498">
        <f>I48</f>
        <v>0</v>
      </c>
      <c r="G85" s="498">
        <f>L48</f>
        <v>0</v>
      </c>
      <c r="H85" s="498">
        <f>N48</f>
        <v>0</v>
      </c>
      <c r="J85" s="92">
        <f t="shared" si="1"/>
        <v>1</v>
      </c>
      <c r="K85" s="498">
        <f>IF(L62="",0,L62)</f>
        <v>0</v>
      </c>
      <c r="L85" s="498">
        <f>I62</f>
        <v>0</v>
      </c>
      <c r="M85" s="498">
        <f t="shared" si="2"/>
        <v>0</v>
      </c>
      <c r="N85" s="498">
        <f>N62</f>
        <v>0</v>
      </c>
    </row>
    <row r="86" spans="2:15" ht="15" hidden="1" customHeight="1" x14ac:dyDescent="0.25">
      <c r="D86" s="536"/>
      <c r="E86" s="537"/>
      <c r="F86" s="537"/>
      <c r="G86" s="537"/>
      <c r="H86" s="537"/>
      <c r="I86" s="538"/>
      <c r="J86" s="536"/>
      <c r="K86" s="537"/>
      <c r="L86" s="537"/>
      <c r="M86" s="537"/>
      <c r="N86" s="537"/>
      <c r="O86" s="538"/>
    </row>
    <row r="87" spans="2:15" ht="15" hidden="1" customHeight="1" x14ac:dyDescent="0.25">
      <c r="D87" s="92">
        <f>IF(E87=MAX($G$87:$G$89),1,0)</f>
        <v>1</v>
      </c>
      <c r="E87" s="498">
        <f>L71</f>
        <v>0</v>
      </c>
      <c r="F87" s="498">
        <f>I71</f>
        <v>0</v>
      </c>
      <c r="G87" s="498">
        <f>L71</f>
        <v>0</v>
      </c>
      <c r="H87" s="498">
        <f>N71</f>
        <v>0</v>
      </c>
      <c r="I87" s="538"/>
      <c r="J87" s="536"/>
      <c r="K87" s="537"/>
      <c r="L87" s="537"/>
      <c r="M87" s="537"/>
      <c r="N87" s="537"/>
      <c r="O87" s="538"/>
    </row>
    <row r="88" spans="2:15" ht="15" hidden="1" customHeight="1" x14ac:dyDescent="0.25">
      <c r="D88" s="92">
        <f>IF(E88=MAX($G$87:$G$89),1,0)</f>
        <v>1</v>
      </c>
      <c r="E88" s="498">
        <f>L73</f>
        <v>0</v>
      </c>
      <c r="F88" s="498">
        <f>I73</f>
        <v>0</v>
      </c>
      <c r="G88" s="498">
        <f>L73</f>
        <v>0</v>
      </c>
      <c r="H88" s="498">
        <f>N73</f>
        <v>0</v>
      </c>
      <c r="I88" s="538"/>
      <c r="J88" s="536"/>
      <c r="K88" s="537"/>
      <c r="L88" s="537"/>
      <c r="M88" s="537"/>
      <c r="N88" s="537"/>
      <c r="O88" s="538"/>
    </row>
    <row r="89" spans="2:15" ht="15" hidden="1" customHeight="1" x14ac:dyDescent="0.25">
      <c r="D89" s="92">
        <f>IF(E89=MAX($G$87:$G$89),1,0)</f>
        <v>1</v>
      </c>
      <c r="E89" s="498">
        <f>L75</f>
        <v>0</v>
      </c>
      <c r="F89" s="498">
        <f>I75</f>
        <v>0</v>
      </c>
      <c r="G89" s="498">
        <f>L75</f>
        <v>0</v>
      </c>
      <c r="H89" s="498">
        <f>N75</f>
        <v>0</v>
      </c>
      <c r="I89" s="538"/>
      <c r="J89" s="536"/>
      <c r="K89" s="537"/>
      <c r="L89" s="537"/>
      <c r="M89" s="537"/>
      <c r="N89" s="537"/>
      <c r="O89" s="538"/>
    </row>
    <row r="90" spans="2:15" ht="15" hidden="1" customHeight="1" x14ac:dyDescent="0.25"/>
    <row r="91" spans="2:15" ht="15" hidden="1" x14ac:dyDescent="0.25">
      <c r="B91" s="502" t="str">
        <f>Translation!C39</f>
        <v>Vrsta stavbe</v>
      </c>
      <c r="C91" s="503"/>
      <c r="D91" s="504"/>
      <c r="E91" s="505">
        <v>1</v>
      </c>
    </row>
    <row r="92" spans="2:15" ht="15" hidden="1" x14ac:dyDescent="0.25">
      <c r="B92" s="506">
        <v>1</v>
      </c>
      <c r="C92" s="93" t="str">
        <f>Translation!C40</f>
        <v>Šola</v>
      </c>
      <c r="D92" s="507"/>
      <c r="E92" s="504"/>
      <c r="F92" s="92">
        <f>B92</f>
        <v>1</v>
      </c>
    </row>
    <row r="93" spans="2:15" ht="15" hidden="1" x14ac:dyDescent="0.25">
      <c r="B93" s="508">
        <v>2</v>
      </c>
      <c r="C93" s="93" t="str">
        <f>Translation!C41</f>
        <v>Telovadnica</v>
      </c>
      <c r="D93" s="503"/>
      <c r="E93" s="504"/>
      <c r="F93" s="92">
        <f t="shared" ref="F93:F97" si="3">B93</f>
        <v>2</v>
      </c>
    </row>
    <row r="94" spans="2:15" ht="15" hidden="1" x14ac:dyDescent="0.25">
      <c r="B94" s="508">
        <v>3</v>
      </c>
      <c r="C94" s="93" t="str">
        <f>Translation!C42</f>
        <v>Pisarne</v>
      </c>
      <c r="D94" s="503"/>
      <c r="E94" s="504"/>
      <c r="F94" s="92">
        <f t="shared" si="3"/>
        <v>3</v>
      </c>
    </row>
    <row r="95" spans="2:15" ht="15" hidden="1" x14ac:dyDescent="0.25">
      <c r="B95" s="508">
        <v>4</v>
      </c>
      <c r="C95" s="93" t="str">
        <f>Translation!C43</f>
        <v>Zdravstvena ustanova</v>
      </c>
      <c r="D95" s="503"/>
      <c r="E95" s="504"/>
      <c r="F95" s="92">
        <f t="shared" si="3"/>
        <v>4</v>
      </c>
    </row>
    <row r="96" spans="2:15" ht="15" hidden="1" x14ac:dyDescent="0.25">
      <c r="B96" s="508">
        <v>5</v>
      </c>
      <c r="C96" s="93"/>
      <c r="D96" s="503"/>
      <c r="E96" s="504"/>
      <c r="F96" s="92">
        <f t="shared" si="3"/>
        <v>5</v>
      </c>
    </row>
    <row r="97" spans="2:6" ht="15" hidden="1" x14ac:dyDescent="0.25">
      <c r="B97" s="508">
        <v>6</v>
      </c>
      <c r="C97" s="93"/>
      <c r="D97" s="503"/>
      <c r="E97" s="504"/>
      <c r="F97" s="92">
        <f t="shared" si="3"/>
        <v>6</v>
      </c>
    </row>
    <row r="98" spans="2:6" ht="15" hidden="1" x14ac:dyDescent="0.25"/>
    <row r="99" spans="2:6" ht="15" hidden="1" x14ac:dyDescent="0.25">
      <c r="B99" s="502" t="str">
        <f>Translation!C44</f>
        <v>Pozicija</v>
      </c>
      <c r="C99" s="503"/>
      <c r="D99" s="504"/>
      <c r="E99" s="505">
        <v>1</v>
      </c>
    </row>
    <row r="100" spans="2:6" ht="15" hidden="1" x14ac:dyDescent="0.25">
      <c r="B100" s="506">
        <v>1</v>
      </c>
      <c r="C100" s="93" t="str">
        <f>Translation!C45</f>
        <v>Samostoječa stavba</v>
      </c>
      <c r="D100" s="507"/>
      <c r="E100" s="504"/>
      <c r="F100" s="92">
        <f>B100</f>
        <v>1</v>
      </c>
    </row>
    <row r="101" spans="2:6" ht="15" hidden="1" x14ac:dyDescent="0.25">
      <c r="B101" s="508">
        <v>2</v>
      </c>
      <c r="C101" s="509" t="str">
        <f>Translation!C46</f>
        <v>Povezana na eni strani</v>
      </c>
      <c r="D101" s="503"/>
      <c r="E101" s="504"/>
      <c r="F101" s="92">
        <f t="shared" ref="F101:F105" si="4">B101</f>
        <v>2</v>
      </c>
    </row>
    <row r="102" spans="2:6" ht="15" hidden="1" x14ac:dyDescent="0.25">
      <c r="B102" s="508">
        <v>3</v>
      </c>
      <c r="C102" s="509" t="str">
        <f>Translation!C47</f>
        <v>Povezana na obeh straneh</v>
      </c>
      <c r="D102" s="503"/>
      <c r="E102" s="504"/>
      <c r="F102" s="92">
        <f t="shared" si="4"/>
        <v>3</v>
      </c>
    </row>
    <row r="103" spans="2:6" ht="15" hidden="1" x14ac:dyDescent="0.25">
      <c r="B103" s="508">
        <v>4</v>
      </c>
      <c r="C103" s="509"/>
      <c r="D103" s="503"/>
      <c r="E103" s="504"/>
      <c r="F103" s="92">
        <f t="shared" si="4"/>
        <v>4</v>
      </c>
    </row>
    <row r="104" spans="2:6" ht="15" hidden="1" x14ac:dyDescent="0.25">
      <c r="B104" s="508">
        <v>5</v>
      </c>
      <c r="C104" s="509"/>
      <c r="D104" s="503"/>
      <c r="E104" s="504"/>
      <c r="F104" s="92">
        <f t="shared" si="4"/>
        <v>5</v>
      </c>
    </row>
    <row r="105" spans="2:6" ht="15" hidden="1" x14ac:dyDescent="0.25">
      <c r="B105" s="508">
        <v>6</v>
      </c>
      <c r="C105" s="509"/>
      <c r="D105" s="503"/>
      <c r="E105" s="504"/>
      <c r="F105" s="92">
        <f t="shared" si="4"/>
        <v>6</v>
      </c>
    </row>
    <row r="106" spans="2:6" ht="15" hidden="1" x14ac:dyDescent="0.25"/>
    <row r="107" spans="2:6" ht="15" hidden="1" x14ac:dyDescent="0.25">
      <c r="B107" s="509" t="str">
        <f>Translation!C48</f>
        <v>Zemljepisna širina</v>
      </c>
      <c r="C107" s="503"/>
      <c r="D107" s="504"/>
      <c r="E107" s="505">
        <v>12</v>
      </c>
    </row>
    <row r="108" spans="2:6" ht="15" hidden="1" x14ac:dyDescent="0.25">
      <c r="B108" s="506">
        <v>1</v>
      </c>
      <c r="C108" s="93" t="str">
        <f>Parameters!E34</f>
        <v>35°</v>
      </c>
      <c r="D108" s="507"/>
      <c r="E108" s="504"/>
      <c r="F108" s="92">
        <f>B108</f>
        <v>1</v>
      </c>
    </row>
    <row r="109" spans="2:6" ht="15" hidden="1" x14ac:dyDescent="0.25">
      <c r="B109" s="508">
        <v>2</v>
      </c>
      <c r="C109" s="93" t="str">
        <f>Parameters!E35</f>
        <v>36°</v>
      </c>
      <c r="D109" s="503"/>
      <c r="E109" s="504"/>
      <c r="F109" s="92">
        <f t="shared" ref="F109:F121" si="5">B109</f>
        <v>2</v>
      </c>
    </row>
    <row r="110" spans="2:6" ht="15" hidden="1" x14ac:dyDescent="0.25">
      <c r="B110" s="508">
        <v>3</v>
      </c>
      <c r="C110" s="93" t="str">
        <f>Parameters!E36</f>
        <v>37°</v>
      </c>
      <c r="D110" s="503"/>
      <c r="E110" s="504"/>
      <c r="F110" s="92">
        <f t="shared" si="5"/>
        <v>3</v>
      </c>
    </row>
    <row r="111" spans="2:6" ht="15" hidden="1" x14ac:dyDescent="0.25">
      <c r="B111" s="508">
        <v>4</v>
      </c>
      <c r="C111" s="93" t="str">
        <f>Parameters!E37</f>
        <v>38°</v>
      </c>
      <c r="D111" s="503"/>
      <c r="E111" s="504"/>
      <c r="F111" s="92">
        <f t="shared" si="5"/>
        <v>4</v>
      </c>
    </row>
    <row r="112" spans="2:6" ht="15" hidden="1" x14ac:dyDescent="0.25">
      <c r="B112" s="508">
        <v>5</v>
      </c>
      <c r="C112" s="93" t="str">
        <f>Parameters!E38</f>
        <v>39°</v>
      </c>
      <c r="D112" s="503"/>
      <c r="E112" s="504"/>
      <c r="F112" s="92">
        <f t="shared" si="5"/>
        <v>5</v>
      </c>
    </row>
    <row r="113" spans="2:15" ht="15" hidden="1" x14ac:dyDescent="0.25">
      <c r="B113" s="508">
        <v>6</v>
      </c>
      <c r="C113" s="93" t="str">
        <f>Parameters!E39</f>
        <v>40°</v>
      </c>
      <c r="D113" s="503"/>
      <c r="E113" s="504"/>
      <c r="F113" s="92">
        <f t="shared" si="5"/>
        <v>6</v>
      </c>
    </row>
    <row r="114" spans="2:15" ht="15" hidden="1" x14ac:dyDescent="0.25">
      <c r="B114" s="508">
        <v>7</v>
      </c>
      <c r="C114" s="93" t="str">
        <f>Parameters!E40</f>
        <v>41°</v>
      </c>
      <c r="D114" s="503"/>
      <c r="E114" s="504"/>
      <c r="F114" s="92">
        <f t="shared" si="5"/>
        <v>7</v>
      </c>
    </row>
    <row r="115" spans="2:15" ht="15" hidden="1" x14ac:dyDescent="0.25">
      <c r="B115" s="508">
        <v>8</v>
      </c>
      <c r="C115" s="93" t="str">
        <f>Parameters!E41</f>
        <v>42°</v>
      </c>
      <c r="D115" s="503"/>
      <c r="E115" s="504"/>
      <c r="F115" s="92">
        <f t="shared" si="5"/>
        <v>8</v>
      </c>
    </row>
    <row r="116" spans="2:15" ht="15" hidden="1" x14ac:dyDescent="0.25">
      <c r="B116" s="508">
        <v>9</v>
      </c>
      <c r="C116" s="93" t="str">
        <f>Parameters!E42</f>
        <v>43°</v>
      </c>
      <c r="D116" s="503"/>
      <c r="E116" s="504"/>
      <c r="F116" s="92">
        <f t="shared" si="5"/>
        <v>9</v>
      </c>
    </row>
    <row r="117" spans="2:15" ht="15" hidden="1" x14ac:dyDescent="0.25">
      <c r="B117" s="508">
        <v>10</v>
      </c>
      <c r="C117" s="93" t="str">
        <f>Parameters!E43</f>
        <v>44°</v>
      </c>
      <c r="D117" s="503"/>
      <c r="E117" s="504"/>
      <c r="F117" s="92">
        <f t="shared" si="5"/>
        <v>10</v>
      </c>
    </row>
    <row r="118" spans="2:15" ht="15" hidden="1" x14ac:dyDescent="0.25">
      <c r="B118" s="508">
        <v>11</v>
      </c>
      <c r="C118" s="93" t="str">
        <f>Parameters!E44</f>
        <v>45°</v>
      </c>
      <c r="D118" s="503"/>
      <c r="E118" s="504"/>
      <c r="F118" s="92">
        <f t="shared" si="5"/>
        <v>11</v>
      </c>
    </row>
    <row r="119" spans="2:15" ht="15" hidden="1" x14ac:dyDescent="0.25">
      <c r="B119" s="508">
        <v>12</v>
      </c>
      <c r="C119" s="93" t="str">
        <f>Parameters!E45</f>
        <v>46°</v>
      </c>
      <c r="D119" s="503"/>
      <c r="E119" s="504"/>
      <c r="F119" s="92">
        <f t="shared" si="5"/>
        <v>12</v>
      </c>
    </row>
    <row r="120" spans="2:15" ht="15" hidden="1" x14ac:dyDescent="0.25">
      <c r="B120" s="508">
        <v>13</v>
      </c>
      <c r="C120" s="93" t="str">
        <f>Parameters!E46</f>
        <v>47°</v>
      </c>
      <c r="D120" s="503"/>
      <c r="E120" s="504"/>
      <c r="F120" s="92">
        <f t="shared" si="5"/>
        <v>13</v>
      </c>
    </row>
    <row r="121" spans="2:15" ht="15" hidden="1" x14ac:dyDescent="0.25">
      <c r="B121" s="508">
        <v>14</v>
      </c>
      <c r="C121" s="93" t="str">
        <f>Parameters!E47</f>
        <v>48°</v>
      </c>
      <c r="D121" s="503"/>
      <c r="E121" s="504"/>
      <c r="F121" s="92">
        <f t="shared" si="5"/>
        <v>14</v>
      </c>
    </row>
    <row r="122" spans="2:15" ht="15" hidden="1" x14ac:dyDescent="0.25"/>
    <row r="123" spans="2:15" ht="15" hidden="1" x14ac:dyDescent="0.25">
      <c r="B123" s="502" t="str">
        <f>'F+T Translation'!B31&amp;" 1"</f>
        <v>Vir energije 1</v>
      </c>
      <c r="C123" s="503"/>
      <c r="D123" s="504"/>
      <c r="E123" s="505">
        <v>1</v>
      </c>
    </row>
    <row r="124" spans="2:15" ht="15" hidden="1" x14ac:dyDescent="0.25">
      <c r="B124" s="506">
        <v>1</v>
      </c>
      <c r="C124" s="93" t="str">
        <f>IF(Parameters!D5="","",Parameters!D5)</f>
        <v>Zemeljski plin</v>
      </c>
      <c r="D124" s="507"/>
      <c r="E124" s="504"/>
      <c r="F124" s="92">
        <f>B124</f>
        <v>1</v>
      </c>
      <c r="G124" s="92" t="str">
        <f>IF(Parameters!F5="","",Parameters!F5)</f>
        <v>Sm³</v>
      </c>
      <c r="H124" s="295">
        <f>IF($O$50="",Parameters!K5,IF(F124=$E$123,$O$50,Parameters!K5))</f>
        <v>7.7319587628865982E-2</v>
      </c>
      <c r="I124" s="324" t="str">
        <f>Translation!$C$11</f>
        <v>€/kWh</v>
      </c>
      <c r="J124" s="323">
        <f>IF(Parameters!G5="","",Parameters!G5)</f>
        <v>9.6999999999999993</v>
      </c>
      <c r="K124" s="322" t="str">
        <f>IF(Parameters!H5="","",Parameters!H5)</f>
        <v>kWh/Sm³</v>
      </c>
      <c r="L124" s="295">
        <f>IF($O$50="",Parameters!K5,IF(G124=$K$71,IF($O$77="",H124,$O$77),IF($E$123=B124,$O$50,Parameters!K5)))</f>
        <v>7.7319587628865982E-2</v>
      </c>
      <c r="M124" s="324" t="str">
        <f>Parameters!L5</f>
        <v>€/kWh</v>
      </c>
      <c r="N124" s="295">
        <f>IF('3'!L56="",L124,'3'!L56/J124)</f>
        <v>7.7319587628865982E-2</v>
      </c>
      <c r="O124" s="324" t="str">
        <f>M124</f>
        <v>€/kWh</v>
      </c>
    </row>
    <row r="125" spans="2:15" ht="15" hidden="1" x14ac:dyDescent="0.25">
      <c r="B125" s="508">
        <v>2</v>
      </c>
      <c r="C125" s="509" t="str">
        <f>IF(Parameters!D6="","",Parameters!D6)</f>
        <v>UNP (m³)</v>
      </c>
      <c r="D125" s="503"/>
      <c r="E125" s="504"/>
      <c r="F125" s="92">
        <f t="shared" ref="F125:F138" si="6">B125</f>
        <v>2</v>
      </c>
      <c r="G125" s="92" t="str">
        <f>IF(Parameters!F6="","",Parameters!F6)</f>
        <v>m³</v>
      </c>
      <c r="H125" s="295">
        <f>IF($O$50="",Parameters!K6,IF(F125=$E$123,$O$50,Parameters!K6))</f>
        <v>0.24018003273322422</v>
      </c>
      <c r="I125" s="324" t="str">
        <f>Translation!$C$11</f>
        <v>€/kWh</v>
      </c>
      <c r="J125" s="323">
        <f>IF(Parameters!G6="","",Parameters!G6)</f>
        <v>24.44</v>
      </c>
      <c r="K125" s="322" t="str">
        <f>IF(Parameters!H6="","",Parameters!H6)</f>
        <v>kWh/m³</v>
      </c>
      <c r="L125" s="295">
        <f>IF($O$50="",Parameters!K6,IF(G125=$K$71,IF($O$77="",H125,$O$77),IF($E$123=B125,$O$50,Parameters!K6)))</f>
        <v>0.24018003273322422</v>
      </c>
      <c r="M125" s="324" t="str">
        <f>Parameters!L6</f>
        <v>€/kWh</v>
      </c>
      <c r="N125" s="295">
        <f>IF('3'!L57="",L125,'3'!L57/J125)</f>
        <v>0.24018003273322422</v>
      </c>
      <c r="O125" s="324" t="str">
        <f t="shared" ref="O125:O138" si="7">M125</f>
        <v>€/kWh</v>
      </c>
    </row>
    <row r="126" spans="2:15" ht="15" hidden="1" x14ac:dyDescent="0.25">
      <c r="B126" s="508">
        <v>3</v>
      </c>
      <c r="C126" s="509" t="str">
        <f>IF(Parameters!D7="","",Parameters!D7)</f>
        <v>UNP (l)</v>
      </c>
      <c r="D126" s="503"/>
      <c r="E126" s="504"/>
      <c r="F126" s="92">
        <f t="shared" si="6"/>
        <v>3</v>
      </c>
      <c r="G126" s="92" t="str">
        <f>IF(Parameters!F7="","",Parameters!F7)</f>
        <v>l</v>
      </c>
      <c r="H126" s="295">
        <f>IF($O$50="",Parameters!K7,IF(F126=$E$123,$O$50,Parameters!K7))</f>
        <v>0.23970588235294116</v>
      </c>
      <c r="I126" s="324" t="str">
        <f>Translation!$C$11</f>
        <v>€/kWh</v>
      </c>
      <c r="J126" s="323">
        <f>IF(Parameters!G7="","",Parameters!G7)</f>
        <v>6.8</v>
      </c>
      <c r="K126" s="322" t="str">
        <f>IF(Parameters!H7="","",Parameters!H7)</f>
        <v>kWh/l</v>
      </c>
      <c r="L126" s="295">
        <f>IF($O$50="",Parameters!K7,IF(G126=$K$71,IF($O$77="",H126,$O$77),IF($E$123=B126,$O$50,Parameters!K7)))</f>
        <v>0.23970588235294116</v>
      </c>
      <c r="M126" s="324" t="str">
        <f>Parameters!L7</f>
        <v>€/kWh</v>
      </c>
      <c r="N126" s="295">
        <f>IF('3'!L58="",L126,'3'!L58/J126)</f>
        <v>0.23970588235294116</v>
      </c>
      <c r="O126" s="324" t="str">
        <f t="shared" si="7"/>
        <v>€/kWh</v>
      </c>
    </row>
    <row r="127" spans="2:15" ht="15" hidden="1" x14ac:dyDescent="0.25">
      <c r="B127" s="508">
        <v>4</v>
      </c>
      <c r="C127" s="509" t="str">
        <f>IF(Parameters!D8="","",Parameters!D8)</f>
        <v>UNP (kg)</v>
      </c>
      <c r="D127" s="503"/>
      <c r="E127" s="504"/>
      <c r="F127" s="92">
        <f t="shared" si="6"/>
        <v>4</v>
      </c>
      <c r="G127" s="92" t="str">
        <f>IF(Parameters!F8="","",Parameters!F8)</f>
        <v>kg</v>
      </c>
      <c r="H127" s="295">
        <f>IF($O$50="",Parameters!K8,IF(F127=$E$123,$O$50,Parameters!K8))</f>
        <v>0.24031007751937986</v>
      </c>
      <c r="I127" s="324" t="str">
        <f>Translation!$C$11</f>
        <v>€/kWh</v>
      </c>
      <c r="J127" s="323">
        <f>IF(Parameters!G8="","",Parameters!G8)</f>
        <v>12.9</v>
      </c>
      <c r="K127" s="322" t="str">
        <f>IF(Parameters!H8="","",Parameters!H8)</f>
        <v>kWh/kg</v>
      </c>
      <c r="L127" s="295">
        <f>IF($O$50="",Parameters!K8,IF(G127=$K$71,IF($O$77="",H127,$O$77),IF($E$123=B127,$O$50,Parameters!K8)))</f>
        <v>0.24031007751937986</v>
      </c>
      <c r="M127" s="324" t="str">
        <f>Parameters!L8</f>
        <v>€/kWh</v>
      </c>
      <c r="N127" s="295">
        <f>IF('3'!L59="",L127,'3'!L59/J127)</f>
        <v>0.24031007751937986</v>
      </c>
      <c r="O127" s="324" t="str">
        <f t="shared" si="7"/>
        <v>€/kWh</v>
      </c>
    </row>
    <row r="128" spans="2:15" ht="15" hidden="1" x14ac:dyDescent="0.25">
      <c r="B128" s="508">
        <v>5</v>
      </c>
      <c r="C128" s="509" t="str">
        <f>IF(Parameters!D9="","",Parameters!D9)</f>
        <v>Dizelsko gorivo (l)</v>
      </c>
      <c r="D128" s="503"/>
      <c r="E128" s="504"/>
      <c r="F128" s="92">
        <f t="shared" si="6"/>
        <v>5</v>
      </c>
      <c r="G128" s="92" t="str">
        <f>IF(Parameters!F9="","",Parameters!F9)</f>
        <v>l</v>
      </c>
      <c r="H128" s="295">
        <f>IF($O$50="",Parameters!K9,IF(F128=$E$123,$O$50,Parameters!K9))</f>
        <v>0.10437869822485207</v>
      </c>
      <c r="I128" s="324" t="str">
        <f>Translation!$C$11</f>
        <v>€/kWh</v>
      </c>
      <c r="J128" s="323">
        <f>IF(Parameters!G9="","",Parameters!G9)</f>
        <v>10.05952380952381</v>
      </c>
      <c r="K128" s="322" t="str">
        <f>IF(Parameters!H9="","",Parameters!H9)</f>
        <v>kWh/l</v>
      </c>
      <c r="L128" s="295">
        <f>IF($O$50="",Parameters!K9,IF(G128=$K$71,IF($O$77="",H128,$O$77),IF($E$123=B128,$O$50,Parameters!K9)))</f>
        <v>0.10437869822485207</v>
      </c>
      <c r="M128" s="324" t="str">
        <f>Parameters!L9</f>
        <v>€/kWh</v>
      </c>
      <c r="N128" s="295">
        <f>IF('3'!L60="",L128,'3'!L60/J128)</f>
        <v>0.10437869822485207</v>
      </c>
      <c r="O128" s="324" t="str">
        <f t="shared" si="7"/>
        <v>€/kWh</v>
      </c>
    </row>
    <row r="129" spans="2:15" ht="15" hidden="1" x14ac:dyDescent="0.25">
      <c r="B129" s="508">
        <v>6</v>
      </c>
      <c r="C129" s="509" t="str">
        <f>IF(Parameters!D10="","",Parameters!D10)</f>
        <v>Dizelsko gorivo (kg)</v>
      </c>
      <c r="D129" s="503"/>
      <c r="E129" s="504"/>
      <c r="F129" s="92">
        <f t="shared" si="6"/>
        <v>6</v>
      </c>
      <c r="G129" s="92" t="str">
        <f>IF(Parameters!F10="","",Parameters!F10)</f>
        <v>kg</v>
      </c>
      <c r="H129" s="295">
        <f>IF($O$50="",Parameters!K10,IF(F129=$E$123,$O$50,Parameters!K10))</f>
        <v>0.10397295012679628</v>
      </c>
      <c r="I129" s="324" t="str">
        <f>Translation!$C$11</f>
        <v>€/kWh</v>
      </c>
      <c r="J129" s="323">
        <f>IF(Parameters!G10="","",Parameters!G10)</f>
        <v>11.83</v>
      </c>
      <c r="K129" s="322" t="str">
        <f>IF(Parameters!H10="","",Parameters!H10)</f>
        <v>kWh/kg</v>
      </c>
      <c r="L129" s="295">
        <f>IF($O$50="",Parameters!K10,IF(G129=$K$71,IF($O$77="",H129,$O$77),IF($E$123=B129,$O$50,Parameters!K10)))</f>
        <v>0.10397295012679628</v>
      </c>
      <c r="M129" s="324" t="str">
        <f>Parameters!L10</f>
        <v>€/kWh</v>
      </c>
      <c r="N129" s="295">
        <f>IF('3'!L61="",L129,'3'!L61/J129)</f>
        <v>0.10397295012679628</v>
      </c>
      <c r="O129" s="324" t="str">
        <f t="shared" si="7"/>
        <v>€/kWh</v>
      </c>
    </row>
    <row r="130" spans="2:15" ht="15" hidden="1" x14ac:dyDescent="0.25">
      <c r="B130" s="508">
        <v>7</v>
      </c>
      <c r="C130" s="509" t="str">
        <f>IF(Parameters!D11="","",Parameters!D11)</f>
        <v>Kurilno olje</v>
      </c>
      <c r="D130" s="503"/>
      <c r="E130" s="504"/>
      <c r="F130" s="92">
        <f t="shared" si="6"/>
        <v>7</v>
      </c>
      <c r="G130" s="92" t="str">
        <f>IF(Parameters!F11="","",Parameters!F11)</f>
        <v>kg</v>
      </c>
      <c r="H130" s="295">
        <f>IF($O$50="",Parameters!K11,IF(F130=$E$123,$O$50,Parameters!K11))</f>
        <v>0.16129032258064516</v>
      </c>
      <c r="I130" s="324" t="str">
        <f>Translation!$C$11</f>
        <v>€/kWh</v>
      </c>
      <c r="J130" s="323">
        <f>IF(Parameters!G11="","",Parameters!G11)</f>
        <v>11.47</v>
      </c>
      <c r="K130" s="322" t="str">
        <f>IF(Parameters!H11="","",Parameters!H11)</f>
        <v>kWh/kg</v>
      </c>
      <c r="L130" s="295">
        <f>IF($O$50="",Parameters!K11,IF(G130=$K$71,IF($O$77="",H130,$O$77),IF($E$123=B130,$O$50,Parameters!K11)))</f>
        <v>0.16129032258064516</v>
      </c>
      <c r="M130" s="324" t="str">
        <f>Parameters!L11</f>
        <v>€/kWh</v>
      </c>
      <c r="N130" s="295">
        <f>IF('3'!L62="",L130,'3'!L62/J130)</f>
        <v>0.16129032258064516</v>
      </c>
      <c r="O130" s="324" t="str">
        <f t="shared" si="7"/>
        <v>€/kWh</v>
      </c>
    </row>
    <row r="131" spans="2:15" ht="15" hidden="1" x14ac:dyDescent="0.25">
      <c r="B131" s="508">
        <v>8</v>
      </c>
      <c r="C131" s="509" t="str">
        <f>IF(Parameters!D12="","",Parameters!D12)</f>
        <v>Peleti</v>
      </c>
      <c r="D131" s="503"/>
      <c r="E131" s="504"/>
      <c r="F131" s="92">
        <f t="shared" si="6"/>
        <v>8</v>
      </c>
      <c r="G131" s="92" t="str">
        <f>IF(Parameters!F12="","",Parameters!F12)</f>
        <v>kg</v>
      </c>
      <c r="H131" s="295">
        <f>IF($O$50="",Parameters!K12,IF(F131=$E$123,$O$50,Parameters!K12))</f>
        <v>6.4000000000000001E-2</v>
      </c>
      <c r="I131" s="324" t="str">
        <f>Translation!$C$11</f>
        <v>€/kWh</v>
      </c>
      <c r="J131" s="323">
        <f>IF(Parameters!G12="","",Parameters!G12)</f>
        <v>5</v>
      </c>
      <c r="K131" s="322" t="str">
        <f>IF(Parameters!H12="","",Parameters!H12)</f>
        <v>kWh/kg</v>
      </c>
      <c r="L131" s="295">
        <f>IF($O$50="",Parameters!K12,IF(G131=$K$71,IF($O$77="",H131,$O$77),IF($E$123=B131,$O$50,Parameters!K12)))</f>
        <v>6.4000000000000001E-2</v>
      </c>
      <c r="M131" s="324" t="str">
        <f>Parameters!L12</f>
        <v>€/kWh</v>
      </c>
      <c r="N131" s="295">
        <f>IF('3'!L63="",L131,'3'!L63/J131)</f>
        <v>6.4000000000000001E-2</v>
      </c>
      <c r="O131" s="324" t="str">
        <f t="shared" si="7"/>
        <v>€/kWh</v>
      </c>
    </row>
    <row r="132" spans="2:15" ht="15" hidden="1" x14ac:dyDescent="0.25">
      <c r="B132" s="508">
        <v>9</v>
      </c>
      <c r="C132" s="509" t="str">
        <f>IF(Parameters!D13="","",Parameters!D13)</f>
        <v>Polena</v>
      </c>
      <c r="D132" s="503"/>
      <c r="E132" s="504"/>
      <c r="F132" s="92">
        <f t="shared" si="6"/>
        <v>9</v>
      </c>
      <c r="G132" s="92" t="str">
        <f>IF(Parameters!F13="","",Parameters!F13)</f>
        <v>kg</v>
      </c>
      <c r="H132" s="295">
        <f>IF($O$50="",Parameters!K13,IF(F132=$E$123,$O$50,Parameters!K13))</f>
        <v>0.05</v>
      </c>
      <c r="I132" s="324" t="str">
        <f>Translation!$C$11</f>
        <v>€/kWh</v>
      </c>
      <c r="J132" s="323">
        <f>IF(Parameters!G13="","",Parameters!G13)</f>
        <v>3.8</v>
      </c>
      <c r="K132" s="322" t="str">
        <f>IF(Parameters!H13="","",Parameters!H13)</f>
        <v>kWh/kg</v>
      </c>
      <c r="L132" s="295">
        <f>IF($O$50="",Parameters!K13,IF(G132=$K$71,IF($O$77="",H132,$O$77),IF($E$123=B132,$O$50,Parameters!K13)))</f>
        <v>0.05</v>
      </c>
      <c r="M132" s="324" t="str">
        <f>Parameters!L13</f>
        <v>€/kWh</v>
      </c>
      <c r="N132" s="295">
        <f>IF('3'!L64="",L132,'3'!L64/J132)</f>
        <v>0.05</v>
      </c>
      <c r="O132" s="324" t="str">
        <f t="shared" si="7"/>
        <v>€/kWh</v>
      </c>
    </row>
    <row r="133" spans="2:15" ht="15" hidden="1" x14ac:dyDescent="0.25">
      <c r="B133" s="508">
        <v>10</v>
      </c>
      <c r="C133" s="509" t="str">
        <f>IF(Parameters!D14="","",Parameters!D14)</f>
        <v>Lesni sekanci</v>
      </c>
      <c r="D133" s="503"/>
      <c r="E133" s="504"/>
      <c r="F133" s="92">
        <f t="shared" si="6"/>
        <v>10</v>
      </c>
      <c r="G133" s="92" t="str">
        <f>IF(Parameters!F14="","",Parameters!F14)</f>
        <v>kg</v>
      </c>
      <c r="H133" s="295">
        <f>IF($O$50="",Parameters!K14,IF(F133=$E$123,$O$50,Parameters!K14))</f>
        <v>3.5294117647058823E-2</v>
      </c>
      <c r="I133" s="324" t="str">
        <f>Translation!$C$11</f>
        <v>€/kWh</v>
      </c>
      <c r="J133" s="323">
        <f>IF(Parameters!G14="","",Parameters!G14)</f>
        <v>3.4</v>
      </c>
      <c r="K133" s="322" t="str">
        <f>IF(Parameters!H14="","",Parameters!H14)</f>
        <v>kWh/kg</v>
      </c>
      <c r="L133" s="295">
        <f>IF($O$50="",Parameters!K14,IF(G133=$K$71,IF($O$77="",H133,$O$77),IF($E$123=B133,$O$50,Parameters!K14)))</f>
        <v>3.5294117647058823E-2</v>
      </c>
      <c r="M133" s="324" t="str">
        <f>Parameters!L14</f>
        <v>€/kWh</v>
      </c>
      <c r="N133" s="295">
        <f>IF('3'!L65="",L133,'3'!L65/J133)</f>
        <v>3.5294117647058823E-2</v>
      </c>
      <c r="O133" s="324" t="str">
        <f t="shared" si="7"/>
        <v>€/kWh</v>
      </c>
    </row>
    <row r="134" spans="2:15" ht="15" hidden="1" x14ac:dyDescent="0.25">
      <c r="B134" s="508">
        <v>11</v>
      </c>
      <c r="C134" s="509" t="str">
        <f>IF(Parameters!D15="","",Parameters!D15)</f>
        <v>Električna energija</v>
      </c>
      <c r="D134" s="503"/>
      <c r="E134" s="504"/>
      <c r="F134" s="92">
        <f t="shared" si="6"/>
        <v>11</v>
      </c>
      <c r="G134" s="92" t="str">
        <f>IF(Parameters!F15="","",Parameters!F15)</f>
        <v>kWh</v>
      </c>
      <c r="H134" s="295">
        <f>IF($O$50="",Parameters!K15,IF(F134=$E$123,$O$50,Parameters!K15))</f>
        <v>0.23</v>
      </c>
      <c r="I134" s="324" t="str">
        <f>Translation!$C$11</f>
        <v>€/kWh</v>
      </c>
      <c r="J134" s="323">
        <f>IF(Parameters!G15="","",Parameters!G15)</f>
        <v>1</v>
      </c>
      <c r="K134" s="322" t="str">
        <f>IF(Parameters!H15="","",Parameters!H15)</f>
        <v>kWh/kWh</v>
      </c>
      <c r="L134" s="295">
        <f>IF($O$50="",Parameters!K15,IF(G134=$K$71,IF($O$77="",H134,$O$77),IF($E$123=B134,$O$50,Parameters!K15)))</f>
        <v>0.23</v>
      </c>
      <c r="M134" s="324" t="str">
        <f>Parameters!L15</f>
        <v>€/kWh</v>
      </c>
      <c r="N134" s="295">
        <f>IF('3'!L66="",L134,'3'!L66/J134)</f>
        <v>0.23</v>
      </c>
      <c r="O134" s="324" t="str">
        <f t="shared" si="7"/>
        <v>€/kWh</v>
      </c>
    </row>
    <row r="135" spans="2:15" ht="15" hidden="1" x14ac:dyDescent="0.25">
      <c r="B135" s="508">
        <v>12</v>
      </c>
      <c r="C135" s="509" t="str">
        <f>IF(Parameters!D16="","",Parameters!D16)</f>
        <v>Električna energija (toplotna črpalka)</v>
      </c>
      <c r="D135" s="503"/>
      <c r="E135" s="504"/>
      <c r="F135" s="92">
        <f t="shared" si="6"/>
        <v>12</v>
      </c>
      <c r="G135" s="92" t="str">
        <f>IF(Parameters!F16="","",Parameters!F16)</f>
        <v>kWh</v>
      </c>
      <c r="H135" s="295">
        <f>IF($O$50="",Parameters!K16,IF(F135=$E$123,$O$50,Parameters!K16))</f>
        <v>0.23</v>
      </c>
      <c r="I135" s="324" t="str">
        <f>Translation!$C$11</f>
        <v>€/kWh</v>
      </c>
      <c r="J135" s="323">
        <f>IF(Parameters!G16="","",Parameters!G16)</f>
        <v>1</v>
      </c>
      <c r="K135" s="322" t="str">
        <f>IF(Parameters!H16="","",Parameters!H16)</f>
        <v>kWh/kWh</v>
      </c>
      <c r="L135" s="295">
        <f>IF($O$50="",Parameters!K16,IF(G135=$K$71,IF($O$77="",H135,$O$77),IF($E$123=B135,$O$50,Parameters!K16)))</f>
        <v>0.23</v>
      </c>
      <c r="M135" s="324" t="str">
        <f>Parameters!L16</f>
        <v>€/kWh</v>
      </c>
      <c r="N135" s="295">
        <f>IF('3'!L67="",L135,'3'!L67/J135)</f>
        <v>0.23</v>
      </c>
      <c r="O135" s="324" t="str">
        <f t="shared" si="7"/>
        <v>€/kWh</v>
      </c>
    </row>
    <row r="136" spans="2:15" ht="15" hidden="1" x14ac:dyDescent="0.25">
      <c r="B136" s="508">
        <v>13</v>
      </c>
      <c r="C136" s="509" t="str">
        <f>IF(Parameters!D17="","",Parameters!D17)</f>
        <v/>
      </c>
      <c r="D136" s="503"/>
      <c r="E136" s="504"/>
      <c r="F136" s="92">
        <f t="shared" si="6"/>
        <v>13</v>
      </c>
      <c r="G136" s="92" t="str">
        <f>IF(Parameters!F17="","",Parameters!F17)</f>
        <v/>
      </c>
      <c r="H136" s="295">
        <f>IF($O$50="",Parameters!K17,IF(F136=$E$123,$O$50,Parameters!K17))</f>
        <v>0</v>
      </c>
      <c r="I136" s="324" t="str">
        <f>Translation!$C$11</f>
        <v>€/kWh</v>
      </c>
      <c r="J136" s="323">
        <f>IF(Parameters!G17="","",Parameters!G17)</f>
        <v>1</v>
      </c>
      <c r="K136" s="322" t="str">
        <f>IF(Parameters!H17="","",Parameters!H17)</f>
        <v>kWh/kWh</v>
      </c>
      <c r="L136" s="295">
        <f>IF($O$50="",Parameters!K17,IF(G136=$K$71,IF($O$77="",H136,$O$77),IF($E$123=B136,$O$50,Parameters!K17)))</f>
        <v>0</v>
      </c>
      <c r="M136" s="324" t="str">
        <f>Parameters!L17</f>
        <v>€/kWh</v>
      </c>
      <c r="N136" s="295">
        <f>IF('3'!L68="",L136,'3'!L68/J136)</f>
        <v>0</v>
      </c>
      <c r="O136" s="324" t="str">
        <f t="shared" si="7"/>
        <v>€/kWh</v>
      </c>
    </row>
    <row r="137" spans="2:15" ht="15" hidden="1" x14ac:dyDescent="0.25">
      <c r="B137" s="508">
        <v>14</v>
      </c>
      <c r="C137" s="509" t="str">
        <f>IF(Parameters!D18="","",Parameters!D18)</f>
        <v/>
      </c>
      <c r="D137" s="503"/>
      <c r="E137" s="504"/>
      <c r="F137" s="92">
        <f t="shared" si="6"/>
        <v>14</v>
      </c>
      <c r="G137" s="92" t="str">
        <f>IF(Parameters!F18="","",Parameters!F18)</f>
        <v/>
      </c>
      <c r="H137" s="295">
        <f>IF($O$50="",Parameters!K18,IF(F137=$E$123,$O$50,Parameters!K18))</f>
        <v>0</v>
      </c>
      <c r="I137" s="324" t="str">
        <f>Translation!$C$11</f>
        <v>€/kWh</v>
      </c>
      <c r="J137" s="323">
        <f>IF(Parameters!G18="","",Parameters!G18)</f>
        <v>1</v>
      </c>
      <c r="K137" s="322" t="str">
        <f>IF(Parameters!H18="","",Parameters!H18)</f>
        <v>kWh/kWh</v>
      </c>
      <c r="L137" s="295">
        <f>IF($O$50="",Parameters!K18,IF(G137=$K$71,IF($O$77="",H137,$O$77),IF($E$123=B137,$O$50,Parameters!K18)))</f>
        <v>0</v>
      </c>
      <c r="M137" s="324" t="str">
        <f>Parameters!L18</f>
        <v>€/kWh</v>
      </c>
      <c r="N137" s="295">
        <f>IF('3'!L69="",L137,'3'!L69/J137)</f>
        <v>0</v>
      </c>
      <c r="O137" s="324" t="str">
        <f t="shared" si="7"/>
        <v>€/kWh</v>
      </c>
    </row>
    <row r="138" spans="2:15" ht="15" hidden="1" x14ac:dyDescent="0.25">
      <c r="B138" s="508">
        <v>15</v>
      </c>
      <c r="C138" s="509" t="str">
        <f>IF(Parameters!D19="","",Parameters!D19)</f>
        <v/>
      </c>
      <c r="D138" s="503"/>
      <c r="E138" s="504"/>
      <c r="F138" s="92">
        <f t="shared" si="6"/>
        <v>15</v>
      </c>
      <c r="G138" s="92" t="str">
        <f>IF(Parameters!F19="","",Parameters!F19)</f>
        <v/>
      </c>
      <c r="H138" s="295">
        <f>IF($O$50="",Parameters!K19,IF(F138=$E$123,$O$50,Parameters!K19))</f>
        <v>0</v>
      </c>
      <c r="I138" s="324" t="str">
        <f>Translation!$C$11</f>
        <v>€/kWh</v>
      </c>
      <c r="J138" s="323">
        <f>IF(Parameters!G19="","",Parameters!G19)</f>
        <v>1</v>
      </c>
      <c r="K138" s="322" t="str">
        <f>IF(Parameters!H19="","",Parameters!H19)</f>
        <v>kWh/kWh</v>
      </c>
      <c r="L138" s="295">
        <f>IF($O$50="",Parameters!K19,IF(G138=$K$71,IF($O$77="",H138,$O$77),IF($E$123=B138,$O$50,Parameters!K19)))</f>
        <v>0</v>
      </c>
      <c r="M138" s="324" t="str">
        <f>Parameters!L19</f>
        <v>€/kWh</v>
      </c>
      <c r="N138" s="295">
        <f>IF('3'!L70="",L138,'3'!L70/J138)</f>
        <v>0</v>
      </c>
      <c r="O138" s="324" t="str">
        <f t="shared" si="7"/>
        <v>€/kWh</v>
      </c>
    </row>
    <row r="139" spans="2:15" ht="15" hidden="1" x14ac:dyDescent="0.25"/>
    <row r="140" spans="2:15" ht="15" hidden="1" x14ac:dyDescent="0.25">
      <c r="B140" s="502" t="str">
        <f>'F+T Translation'!B30</f>
        <v>ME</v>
      </c>
      <c r="C140" s="503"/>
      <c r="D140" s="504"/>
      <c r="E140" s="505">
        <v>1</v>
      </c>
    </row>
    <row r="141" spans="2:15" ht="15" hidden="1" x14ac:dyDescent="0.25">
      <c r="B141" s="506">
        <v>1</v>
      </c>
      <c r="C141" s="93" t="str">
        <f>VLOOKUP(VLOOKUP(E123,B124:C138,2,FALSE),Parameters!D5:F19,3,FALSE)</f>
        <v>Sm³</v>
      </c>
      <c r="D141" s="507"/>
      <c r="E141" s="504"/>
      <c r="F141" s="92">
        <f>B141</f>
        <v>1</v>
      </c>
    </row>
    <row r="142" spans="2:15" ht="15" hidden="1" x14ac:dyDescent="0.25">
      <c r="B142" s="508">
        <v>2</v>
      </c>
      <c r="C142" s="509" t="str">
        <f>IF(Translation!C15=C141,"",Translation!C15)</f>
        <v>kWh</v>
      </c>
      <c r="D142" s="503"/>
      <c r="E142" s="504"/>
      <c r="F142" s="92">
        <f t="shared" ref="F142:F143" si="8">B142</f>
        <v>2</v>
      </c>
    </row>
    <row r="143" spans="2:15" ht="15" hidden="1" x14ac:dyDescent="0.25">
      <c r="B143" s="508">
        <v>3</v>
      </c>
      <c r="C143" s="509"/>
      <c r="D143" s="503"/>
      <c r="E143" s="504"/>
      <c r="F143" s="92">
        <f t="shared" si="8"/>
        <v>3</v>
      </c>
    </row>
    <row r="144" spans="2:15" ht="15" hidden="1" x14ac:dyDescent="0.25"/>
    <row r="145" spans="2:15" ht="15" hidden="1" x14ac:dyDescent="0.25">
      <c r="B145" s="502" t="str">
        <f>Translation!C65</f>
        <v>Vključno s sanitarno toplo vodo</v>
      </c>
      <c r="C145" s="503"/>
      <c r="D145" s="504"/>
      <c r="E145" s="505">
        <v>1</v>
      </c>
    </row>
    <row r="146" spans="2:15" ht="15" hidden="1" x14ac:dyDescent="0.25">
      <c r="B146" s="506">
        <v>1</v>
      </c>
      <c r="C146" s="93" t="str">
        <f>Translation!C70</f>
        <v>Ne</v>
      </c>
      <c r="D146" s="507"/>
      <c r="E146" s="504"/>
      <c r="F146" s="92">
        <f>B146</f>
        <v>1</v>
      </c>
    </row>
    <row r="147" spans="2:15" ht="15" hidden="1" x14ac:dyDescent="0.25">
      <c r="B147" s="506">
        <v>2</v>
      </c>
      <c r="C147" s="93" t="str">
        <f>Translation!C67</f>
        <v>samo energent 1</v>
      </c>
      <c r="D147" s="507"/>
      <c r="E147" s="504"/>
      <c r="F147" s="92">
        <f t="shared" ref="F147:F149" si="9">B147</f>
        <v>2</v>
      </c>
    </row>
    <row r="148" spans="2:15" ht="15" hidden="1" x14ac:dyDescent="0.25">
      <c r="B148" s="506">
        <v>3</v>
      </c>
      <c r="C148" s="93" t="str">
        <f>Translation!C68</f>
        <v>samo energent 2</v>
      </c>
      <c r="D148" s="507"/>
      <c r="E148" s="504"/>
      <c r="F148" s="92">
        <f t="shared" si="9"/>
        <v>3</v>
      </c>
    </row>
    <row r="149" spans="2:15" ht="15" hidden="1" x14ac:dyDescent="0.25">
      <c r="B149" s="506">
        <v>4</v>
      </c>
      <c r="C149" s="93" t="str">
        <f>Translation!C66</f>
        <v>oba energenta</v>
      </c>
      <c r="D149" s="507"/>
      <c r="E149" s="504"/>
      <c r="F149" s="92">
        <f t="shared" si="9"/>
        <v>4</v>
      </c>
    </row>
    <row r="150" spans="2:15" ht="15" hidden="1" x14ac:dyDescent="0.25"/>
    <row r="151" spans="2:15" ht="15" hidden="1" x14ac:dyDescent="0.25">
      <c r="B151" s="502" t="str">
        <f>'F+T Translation'!B31&amp;" 2"</f>
        <v>Vir energije 2</v>
      </c>
      <c r="C151" s="503"/>
      <c r="D151" s="504"/>
      <c r="E151" s="505">
        <v>1</v>
      </c>
    </row>
    <row r="152" spans="2:15" ht="15" hidden="1" x14ac:dyDescent="0.25">
      <c r="B152" s="506">
        <v>1</v>
      </c>
      <c r="C152" s="93" t="str">
        <f t="shared" ref="C152:C166" si="10">IF(C124="","",C124)</f>
        <v>Zemeljski plin</v>
      </c>
      <c r="D152" s="507"/>
      <c r="E152" s="504"/>
      <c r="F152" s="92">
        <f>B152</f>
        <v>1</v>
      </c>
      <c r="G152" s="508" t="str">
        <f t="shared" ref="G152:G166" si="11">IF(G124="","",G124)</f>
        <v>Sm³</v>
      </c>
      <c r="H152" s="295">
        <f>IF($O$64="",Parameters!K5,IF(F152=$E$151,$O$64,Parameters!K5))</f>
        <v>7.7319587628865982E-2</v>
      </c>
      <c r="I152" s="324" t="str">
        <f>Translation!$C$11</f>
        <v>€/kWh</v>
      </c>
      <c r="J152" s="323">
        <f>IF(Parameters!G5="","",Parameters!G5)</f>
        <v>9.6999999999999993</v>
      </c>
      <c r="K152" s="322" t="str">
        <f t="shared" ref="K152:K166" si="12">IF(K124="","",K124)</f>
        <v>kWh/Sm³</v>
      </c>
      <c r="L152" s="540">
        <f>IF($O$64="",Parameters!K5,IF(G152=$K$71,IF($O$77="",H152,$O$77),IF($E$151=B152,$O$64,Parameters!K5)))</f>
        <v>7.7319587628865982E-2</v>
      </c>
      <c r="M152" s="324" t="str">
        <f t="shared" ref="M152:M166" si="13">M124</f>
        <v>€/kWh</v>
      </c>
      <c r="N152" s="540">
        <f>IF('3'!L56="",L152,'3'!L56/J152)</f>
        <v>7.7319587628865982E-2</v>
      </c>
      <c r="O152" s="324" t="str">
        <f>M152</f>
        <v>€/kWh</v>
      </c>
    </row>
    <row r="153" spans="2:15" ht="15" hidden="1" x14ac:dyDescent="0.25">
      <c r="B153" s="508">
        <v>2</v>
      </c>
      <c r="C153" s="93" t="str">
        <f t="shared" si="10"/>
        <v>UNP (m³)</v>
      </c>
      <c r="D153" s="503"/>
      <c r="E153" s="504"/>
      <c r="F153" s="92">
        <f t="shared" ref="F153:F166" si="14">B153</f>
        <v>2</v>
      </c>
      <c r="G153" s="539" t="str">
        <f t="shared" si="11"/>
        <v>m³</v>
      </c>
      <c r="H153" s="295">
        <f>IF($O$64="",Parameters!K6,IF(F153=$E$151,$O$64,Parameters!K6))</f>
        <v>0.24018003273322422</v>
      </c>
      <c r="I153" s="324" t="str">
        <f>Translation!$C$11</f>
        <v>€/kWh</v>
      </c>
      <c r="J153" s="323">
        <f>IF(Parameters!G6="","",Parameters!G6)</f>
        <v>24.44</v>
      </c>
      <c r="K153" s="322" t="str">
        <f t="shared" si="12"/>
        <v>kWh/m³</v>
      </c>
      <c r="L153" s="540">
        <f>IF($O$64="",Parameters!K6,IF(G153=$K$71,IF($O$77="",H153,$O$77),IF($E$151=B153,$O$64,Parameters!K6)))</f>
        <v>0.24018003273322422</v>
      </c>
      <c r="M153" s="324" t="str">
        <f t="shared" si="13"/>
        <v>€/kWh</v>
      </c>
      <c r="N153" s="540">
        <f>IF('3'!L57="",L153,'3'!L57/J153)</f>
        <v>0.24018003273322422</v>
      </c>
      <c r="O153" s="324" t="str">
        <f t="shared" ref="O153:O166" si="15">M153</f>
        <v>€/kWh</v>
      </c>
    </row>
    <row r="154" spans="2:15" ht="15" hidden="1" x14ac:dyDescent="0.25">
      <c r="B154" s="508">
        <v>3</v>
      </c>
      <c r="C154" s="93" t="str">
        <f t="shared" si="10"/>
        <v>UNP (l)</v>
      </c>
      <c r="D154" s="503"/>
      <c r="E154" s="504"/>
      <c r="F154" s="92">
        <f t="shared" si="14"/>
        <v>3</v>
      </c>
      <c r="G154" s="539" t="str">
        <f t="shared" si="11"/>
        <v>l</v>
      </c>
      <c r="H154" s="295">
        <f>IF($O$64="",Parameters!K7,IF(F154=$E$151,$O$64,Parameters!K7))</f>
        <v>0.23970588235294116</v>
      </c>
      <c r="I154" s="324" t="str">
        <f>Translation!$C$11</f>
        <v>€/kWh</v>
      </c>
      <c r="J154" s="323">
        <f>IF(Parameters!G7="","",Parameters!G7)</f>
        <v>6.8</v>
      </c>
      <c r="K154" s="322" t="str">
        <f t="shared" si="12"/>
        <v>kWh/l</v>
      </c>
      <c r="L154" s="540">
        <f>IF($O$64="",Parameters!K7,IF(G154=$K$71,IF($O$77="",H154,$O$77),IF($E$151=B154,$O$64,Parameters!K7)))</f>
        <v>0.23970588235294116</v>
      </c>
      <c r="M154" s="324" t="str">
        <f t="shared" si="13"/>
        <v>€/kWh</v>
      </c>
      <c r="N154" s="540">
        <f>IF('3'!L58="",L154,'3'!L58/J154)</f>
        <v>0.23970588235294116</v>
      </c>
      <c r="O154" s="324" t="str">
        <f t="shared" si="15"/>
        <v>€/kWh</v>
      </c>
    </row>
    <row r="155" spans="2:15" ht="15" hidden="1" x14ac:dyDescent="0.25">
      <c r="B155" s="508">
        <v>4</v>
      </c>
      <c r="C155" s="93" t="str">
        <f t="shared" si="10"/>
        <v>UNP (kg)</v>
      </c>
      <c r="D155" s="503"/>
      <c r="E155" s="504"/>
      <c r="F155" s="92">
        <f t="shared" si="14"/>
        <v>4</v>
      </c>
      <c r="G155" s="539" t="str">
        <f t="shared" si="11"/>
        <v>kg</v>
      </c>
      <c r="H155" s="295">
        <f>IF($O$64="",Parameters!K8,IF(F155=$E$151,$O$64,Parameters!K8))</f>
        <v>0.24031007751937986</v>
      </c>
      <c r="I155" s="324" t="str">
        <f>Translation!$C$11</f>
        <v>€/kWh</v>
      </c>
      <c r="J155" s="323">
        <f>IF(Parameters!G8="","",Parameters!G8)</f>
        <v>12.9</v>
      </c>
      <c r="K155" s="322" t="str">
        <f t="shared" si="12"/>
        <v>kWh/kg</v>
      </c>
      <c r="L155" s="540">
        <f>IF($O$64="",Parameters!K8,IF(G155=$K$71,IF($O$77="",H155,$O$77),IF($E$151=B155,$O$64,Parameters!K8)))</f>
        <v>0.24031007751937986</v>
      </c>
      <c r="M155" s="324" t="str">
        <f t="shared" si="13"/>
        <v>€/kWh</v>
      </c>
      <c r="N155" s="540">
        <f>IF('3'!L59="",L155,'3'!L59/J155)</f>
        <v>0.24031007751937986</v>
      </c>
      <c r="O155" s="324" t="str">
        <f t="shared" si="15"/>
        <v>€/kWh</v>
      </c>
    </row>
    <row r="156" spans="2:15" ht="15" hidden="1" x14ac:dyDescent="0.25">
      <c r="B156" s="508">
        <v>5</v>
      </c>
      <c r="C156" s="93" t="str">
        <f t="shared" si="10"/>
        <v>Dizelsko gorivo (l)</v>
      </c>
      <c r="D156" s="503"/>
      <c r="E156" s="504"/>
      <c r="F156" s="92">
        <f t="shared" si="14"/>
        <v>5</v>
      </c>
      <c r="G156" s="539" t="str">
        <f t="shared" si="11"/>
        <v>l</v>
      </c>
      <c r="H156" s="295">
        <f>IF($O$64="",Parameters!K9,IF(F156=$E$151,$O$64,Parameters!K9))</f>
        <v>0.10437869822485207</v>
      </c>
      <c r="I156" s="324" t="str">
        <f>Translation!$C$11</f>
        <v>€/kWh</v>
      </c>
      <c r="J156" s="323">
        <f>IF(Parameters!G9="","",Parameters!G9)</f>
        <v>10.05952380952381</v>
      </c>
      <c r="K156" s="322" t="str">
        <f t="shared" si="12"/>
        <v>kWh/l</v>
      </c>
      <c r="L156" s="540">
        <f>IF($O$64="",Parameters!K9,IF(G156=$K$71,IF($O$77="",H156,$O$77),IF($E$151=B156,$O$64,Parameters!K9)))</f>
        <v>0.10437869822485207</v>
      </c>
      <c r="M156" s="324" t="str">
        <f t="shared" si="13"/>
        <v>€/kWh</v>
      </c>
      <c r="N156" s="540">
        <f>IF('3'!L60="",L156,'3'!L60/J156)</f>
        <v>0.10437869822485207</v>
      </c>
      <c r="O156" s="324" t="str">
        <f t="shared" si="15"/>
        <v>€/kWh</v>
      </c>
    </row>
    <row r="157" spans="2:15" ht="15" hidden="1" x14ac:dyDescent="0.25">
      <c r="B157" s="508">
        <v>6</v>
      </c>
      <c r="C157" s="93" t="str">
        <f t="shared" si="10"/>
        <v>Dizelsko gorivo (kg)</v>
      </c>
      <c r="D157" s="503"/>
      <c r="E157" s="504"/>
      <c r="F157" s="92">
        <f t="shared" si="14"/>
        <v>6</v>
      </c>
      <c r="G157" s="539" t="str">
        <f t="shared" si="11"/>
        <v>kg</v>
      </c>
      <c r="H157" s="295">
        <f>IF($O$64="",Parameters!K10,IF(F157=$E$151,$O$64,Parameters!K10))</f>
        <v>0.10397295012679628</v>
      </c>
      <c r="I157" s="324" t="str">
        <f>Translation!$C$11</f>
        <v>€/kWh</v>
      </c>
      <c r="J157" s="323">
        <f>IF(Parameters!G10="","",Parameters!G10)</f>
        <v>11.83</v>
      </c>
      <c r="K157" s="322" t="str">
        <f t="shared" si="12"/>
        <v>kWh/kg</v>
      </c>
      <c r="L157" s="540">
        <f>IF($O$64="",Parameters!K10,IF(G157=$K$71,IF($O$77="",H157,$O$77),IF($E$151=B157,$O$64,Parameters!K10)))</f>
        <v>0.10397295012679628</v>
      </c>
      <c r="M157" s="324" t="str">
        <f t="shared" si="13"/>
        <v>€/kWh</v>
      </c>
      <c r="N157" s="540">
        <f>IF('3'!L61="",L157,'3'!L61/J157)</f>
        <v>0.10397295012679628</v>
      </c>
      <c r="O157" s="324" t="str">
        <f t="shared" si="15"/>
        <v>€/kWh</v>
      </c>
    </row>
    <row r="158" spans="2:15" ht="15" hidden="1" x14ac:dyDescent="0.25">
      <c r="B158" s="508">
        <v>7</v>
      </c>
      <c r="C158" s="93" t="str">
        <f t="shared" si="10"/>
        <v>Kurilno olje</v>
      </c>
      <c r="D158" s="503"/>
      <c r="E158" s="504"/>
      <c r="F158" s="92">
        <f t="shared" si="14"/>
        <v>7</v>
      </c>
      <c r="G158" s="539" t="str">
        <f t="shared" si="11"/>
        <v>kg</v>
      </c>
      <c r="H158" s="295">
        <f>IF($O$64="",Parameters!K11,IF(F158=$E$151,$O$64,Parameters!K11))</f>
        <v>0.16129032258064516</v>
      </c>
      <c r="I158" s="324" t="str">
        <f>Translation!$C$11</f>
        <v>€/kWh</v>
      </c>
      <c r="J158" s="323">
        <f>IF(Parameters!G11="","",Parameters!G11)</f>
        <v>11.47</v>
      </c>
      <c r="K158" s="322" t="str">
        <f t="shared" si="12"/>
        <v>kWh/kg</v>
      </c>
      <c r="L158" s="540">
        <f>IF($O$64="",Parameters!K11,IF(G158=$K$71,IF($O$77="",H158,$O$77),IF($E$151=B158,$O$64,Parameters!K11)))</f>
        <v>0.16129032258064516</v>
      </c>
      <c r="M158" s="324" t="str">
        <f t="shared" si="13"/>
        <v>€/kWh</v>
      </c>
      <c r="N158" s="540">
        <f>IF('3'!L62="",L158,'3'!L62/J158)</f>
        <v>0.16129032258064516</v>
      </c>
      <c r="O158" s="324" t="str">
        <f t="shared" si="15"/>
        <v>€/kWh</v>
      </c>
    </row>
    <row r="159" spans="2:15" ht="15" hidden="1" x14ac:dyDescent="0.25">
      <c r="B159" s="508">
        <v>8</v>
      </c>
      <c r="C159" s="93" t="str">
        <f t="shared" si="10"/>
        <v>Peleti</v>
      </c>
      <c r="D159" s="503"/>
      <c r="E159" s="504"/>
      <c r="F159" s="92">
        <f t="shared" si="14"/>
        <v>8</v>
      </c>
      <c r="G159" s="539" t="str">
        <f t="shared" si="11"/>
        <v>kg</v>
      </c>
      <c r="H159" s="295">
        <f>IF($O$64="",Parameters!K12,IF(F159=$E$151,$O$64,Parameters!K12))</f>
        <v>6.4000000000000001E-2</v>
      </c>
      <c r="I159" s="324" t="str">
        <f>Translation!$C$11</f>
        <v>€/kWh</v>
      </c>
      <c r="J159" s="323">
        <f>IF(Parameters!G12="","",Parameters!G12)</f>
        <v>5</v>
      </c>
      <c r="K159" s="322" t="str">
        <f t="shared" si="12"/>
        <v>kWh/kg</v>
      </c>
      <c r="L159" s="540">
        <f>IF($O$64="",Parameters!K12,IF(G159=$K$71,IF($O$77="",H159,$O$77),IF($E$151=B159,$O$64,Parameters!K12)))</f>
        <v>6.4000000000000001E-2</v>
      </c>
      <c r="M159" s="324" t="str">
        <f t="shared" si="13"/>
        <v>€/kWh</v>
      </c>
      <c r="N159" s="540">
        <f>IF('3'!L63="",L159,'3'!L63/J159)</f>
        <v>6.4000000000000001E-2</v>
      </c>
      <c r="O159" s="324" t="str">
        <f t="shared" si="15"/>
        <v>€/kWh</v>
      </c>
    </row>
    <row r="160" spans="2:15" ht="15" hidden="1" x14ac:dyDescent="0.25">
      <c r="B160" s="508">
        <v>9</v>
      </c>
      <c r="C160" s="93" t="str">
        <f t="shared" si="10"/>
        <v>Polena</v>
      </c>
      <c r="D160" s="503"/>
      <c r="E160" s="504"/>
      <c r="F160" s="92">
        <f t="shared" si="14"/>
        <v>9</v>
      </c>
      <c r="G160" s="539" t="str">
        <f t="shared" si="11"/>
        <v>kg</v>
      </c>
      <c r="H160" s="295">
        <f>IF($O$64="",Parameters!K13,IF(F160=$E$151,$O$64,Parameters!K13))</f>
        <v>0.05</v>
      </c>
      <c r="I160" s="324" t="str">
        <f>Translation!$C$11</f>
        <v>€/kWh</v>
      </c>
      <c r="J160" s="323">
        <f>IF(Parameters!G13="","",Parameters!G13)</f>
        <v>3.8</v>
      </c>
      <c r="K160" s="322" t="str">
        <f t="shared" si="12"/>
        <v>kWh/kg</v>
      </c>
      <c r="L160" s="540">
        <f>IF($O$64="",Parameters!K13,IF(G160=$K$71,IF($O$77="",H160,$O$77),IF($E$151=B160,$O$64,Parameters!K13)))</f>
        <v>0.05</v>
      </c>
      <c r="M160" s="324" t="str">
        <f t="shared" si="13"/>
        <v>€/kWh</v>
      </c>
      <c r="N160" s="540">
        <f>IF('3'!L64="",L160,'3'!L64/J160)</f>
        <v>0.05</v>
      </c>
      <c r="O160" s="324" t="str">
        <f t="shared" si="15"/>
        <v>€/kWh</v>
      </c>
    </row>
    <row r="161" spans="2:15" ht="15" hidden="1" x14ac:dyDescent="0.25">
      <c r="B161" s="508">
        <v>10</v>
      </c>
      <c r="C161" s="93" t="str">
        <f t="shared" si="10"/>
        <v>Lesni sekanci</v>
      </c>
      <c r="D161" s="503"/>
      <c r="E161" s="504"/>
      <c r="F161" s="92">
        <f t="shared" si="14"/>
        <v>10</v>
      </c>
      <c r="G161" s="539" t="str">
        <f t="shared" si="11"/>
        <v>kg</v>
      </c>
      <c r="H161" s="295">
        <f>IF($O$64="",Parameters!K14,IF(F161=$E$151,$O$64,Parameters!K14))</f>
        <v>3.5294117647058823E-2</v>
      </c>
      <c r="I161" s="324" t="str">
        <f>Translation!$C$11</f>
        <v>€/kWh</v>
      </c>
      <c r="J161" s="323">
        <f>IF(Parameters!G14="","",Parameters!G14)</f>
        <v>3.4</v>
      </c>
      <c r="K161" s="322" t="str">
        <f t="shared" si="12"/>
        <v>kWh/kg</v>
      </c>
      <c r="L161" s="540">
        <f>IF($O$64="",Parameters!K14,IF(G161=$K$71,IF($O$77="",H161,$O$77),IF($E$151=B161,$O$64,Parameters!K14)))</f>
        <v>3.5294117647058823E-2</v>
      </c>
      <c r="M161" s="324" t="str">
        <f t="shared" si="13"/>
        <v>€/kWh</v>
      </c>
      <c r="N161" s="540">
        <f>IF('3'!L65="",L161,'3'!L65/J161)</f>
        <v>3.5294117647058823E-2</v>
      </c>
      <c r="O161" s="324" t="str">
        <f t="shared" si="15"/>
        <v>€/kWh</v>
      </c>
    </row>
    <row r="162" spans="2:15" ht="15" hidden="1" x14ac:dyDescent="0.25">
      <c r="B162" s="508">
        <v>11</v>
      </c>
      <c r="C162" s="93" t="str">
        <f t="shared" si="10"/>
        <v>Električna energija</v>
      </c>
      <c r="D162" s="503"/>
      <c r="E162" s="504"/>
      <c r="F162" s="92">
        <f t="shared" si="14"/>
        <v>11</v>
      </c>
      <c r="G162" s="539" t="str">
        <f t="shared" si="11"/>
        <v>kWh</v>
      </c>
      <c r="H162" s="295">
        <f>IF($O$64="",Parameters!K15,IF(F162=$E$151,$O$64,Parameters!K15))</f>
        <v>0.23</v>
      </c>
      <c r="I162" s="324" t="str">
        <f>Translation!$C$11</f>
        <v>€/kWh</v>
      </c>
      <c r="J162" s="323">
        <f>IF(Parameters!G15="","",Parameters!G15)</f>
        <v>1</v>
      </c>
      <c r="K162" s="322" t="str">
        <f t="shared" si="12"/>
        <v>kWh/kWh</v>
      </c>
      <c r="L162" s="540">
        <f>IF($O$64="",Parameters!K15,IF(G162=$K$71,IF($O$77="",H162,$O$77),IF($E$151=B162,$O$64,Parameters!K15)))</f>
        <v>0.23</v>
      </c>
      <c r="M162" s="324" t="str">
        <f t="shared" si="13"/>
        <v>€/kWh</v>
      </c>
      <c r="N162" s="540">
        <f>IF('3'!L66="",L162,'3'!L66/J162)</f>
        <v>0.23</v>
      </c>
      <c r="O162" s="324" t="str">
        <f t="shared" si="15"/>
        <v>€/kWh</v>
      </c>
    </row>
    <row r="163" spans="2:15" ht="15" hidden="1" x14ac:dyDescent="0.25">
      <c r="B163" s="508">
        <v>12</v>
      </c>
      <c r="C163" s="93" t="str">
        <f t="shared" si="10"/>
        <v>Električna energija (toplotna črpalka)</v>
      </c>
      <c r="D163" s="503"/>
      <c r="E163" s="504"/>
      <c r="F163" s="92">
        <f t="shared" si="14"/>
        <v>12</v>
      </c>
      <c r="G163" s="539" t="str">
        <f t="shared" si="11"/>
        <v>kWh</v>
      </c>
      <c r="H163" s="295">
        <f>IF($O$64="",Parameters!K16,IF(F163=$E$151,$O$64,Parameters!K16))</f>
        <v>0.23</v>
      </c>
      <c r="I163" s="324" t="str">
        <f>Translation!$C$11</f>
        <v>€/kWh</v>
      </c>
      <c r="J163" s="323">
        <f>IF(Parameters!G16="","",Parameters!G16)</f>
        <v>1</v>
      </c>
      <c r="K163" s="322" t="str">
        <f t="shared" si="12"/>
        <v>kWh/kWh</v>
      </c>
      <c r="L163" s="540">
        <f>IF($O$64="",Parameters!K16,IF(G163=$K$71,IF($O$77="",H163,$O$77),IF($E$151=B163,$O$64,Parameters!K16)))</f>
        <v>0.23</v>
      </c>
      <c r="M163" s="324" t="str">
        <f t="shared" si="13"/>
        <v>€/kWh</v>
      </c>
      <c r="N163" s="540">
        <f>IF('3'!L67="",L163,'3'!L67/J163)</f>
        <v>0.23</v>
      </c>
      <c r="O163" s="324" t="str">
        <f t="shared" si="15"/>
        <v>€/kWh</v>
      </c>
    </row>
    <row r="164" spans="2:15" ht="15" hidden="1" x14ac:dyDescent="0.25">
      <c r="B164" s="508">
        <v>13</v>
      </c>
      <c r="C164" s="93" t="str">
        <f t="shared" si="10"/>
        <v/>
      </c>
      <c r="D164" s="503"/>
      <c r="E164" s="504"/>
      <c r="F164" s="92">
        <f t="shared" si="14"/>
        <v>13</v>
      </c>
      <c r="G164" s="539" t="str">
        <f t="shared" si="11"/>
        <v/>
      </c>
      <c r="H164" s="295">
        <f>IF($O$64="",Parameters!K17,IF(F164=$E$151,$O$64,Parameters!K17))</f>
        <v>0</v>
      </c>
      <c r="I164" s="324" t="str">
        <f>Translation!$C$11</f>
        <v>€/kWh</v>
      </c>
      <c r="J164" s="323">
        <f>IF(Parameters!G17="","",Parameters!G17)</f>
        <v>1</v>
      </c>
      <c r="K164" s="322" t="str">
        <f t="shared" si="12"/>
        <v>kWh/kWh</v>
      </c>
      <c r="L164" s="540">
        <f>IF($O$64="",Parameters!K17,IF(G164=$K$71,IF($O$77="",H164,$O$77),IF($E$151=B164,$O$64,Parameters!K17)))</f>
        <v>0</v>
      </c>
      <c r="M164" s="324" t="str">
        <f t="shared" si="13"/>
        <v>€/kWh</v>
      </c>
      <c r="N164" s="540">
        <f>IF('3'!L68="",L164,'3'!L68/J164)</f>
        <v>0</v>
      </c>
      <c r="O164" s="324" t="str">
        <f t="shared" si="15"/>
        <v>€/kWh</v>
      </c>
    </row>
    <row r="165" spans="2:15" ht="15" hidden="1" x14ac:dyDescent="0.25">
      <c r="B165" s="508">
        <v>14</v>
      </c>
      <c r="C165" s="93" t="str">
        <f t="shared" si="10"/>
        <v/>
      </c>
      <c r="D165" s="503"/>
      <c r="E165" s="504"/>
      <c r="F165" s="92">
        <f t="shared" si="14"/>
        <v>14</v>
      </c>
      <c r="G165" s="539" t="str">
        <f t="shared" si="11"/>
        <v/>
      </c>
      <c r="H165" s="295">
        <f>IF($O$64="",Parameters!K18,IF(F165=$E$151,$O$64,Parameters!K18))</f>
        <v>0</v>
      </c>
      <c r="I165" s="324" t="str">
        <f>Translation!$C$11</f>
        <v>€/kWh</v>
      </c>
      <c r="J165" s="323">
        <f>IF(Parameters!G18="","",Parameters!G18)</f>
        <v>1</v>
      </c>
      <c r="K165" s="322" t="str">
        <f t="shared" si="12"/>
        <v>kWh/kWh</v>
      </c>
      <c r="L165" s="540">
        <f>IF($O$64="",Parameters!K18,IF(G165=$K$71,IF($O$77="",H165,$O$77),IF($E$151=B165,$O$64,Parameters!K18)))</f>
        <v>0</v>
      </c>
      <c r="M165" s="324" t="str">
        <f t="shared" si="13"/>
        <v>€/kWh</v>
      </c>
      <c r="N165" s="540">
        <f>IF('3'!L69="",L165,'3'!L69/J165)</f>
        <v>0</v>
      </c>
      <c r="O165" s="324" t="str">
        <f t="shared" si="15"/>
        <v>€/kWh</v>
      </c>
    </row>
    <row r="166" spans="2:15" ht="15" hidden="1" x14ac:dyDescent="0.25">
      <c r="B166" s="508">
        <v>15</v>
      </c>
      <c r="C166" s="93" t="str">
        <f t="shared" si="10"/>
        <v/>
      </c>
      <c r="D166" s="503"/>
      <c r="E166" s="504"/>
      <c r="F166" s="92">
        <f t="shared" si="14"/>
        <v>15</v>
      </c>
      <c r="G166" s="539" t="str">
        <f t="shared" si="11"/>
        <v/>
      </c>
      <c r="H166" s="295">
        <f>IF($O$64="",Parameters!K19,IF(F166=$E$151,$O$64,Parameters!K19))</f>
        <v>0</v>
      </c>
      <c r="I166" s="324" t="str">
        <f>Translation!$C$11</f>
        <v>€/kWh</v>
      </c>
      <c r="J166" s="323">
        <f>IF(Parameters!G19="","",Parameters!G19)</f>
        <v>1</v>
      </c>
      <c r="K166" s="322" t="str">
        <f t="shared" si="12"/>
        <v>kWh/kWh</v>
      </c>
      <c r="L166" s="540">
        <f>IF($O$64="",Parameters!K19,IF(G166=$K$71,IF($O$77="",H166,$O$77),IF($E$151=B166,$O$64,Parameters!K19)))</f>
        <v>0</v>
      </c>
      <c r="M166" s="324" t="str">
        <f t="shared" si="13"/>
        <v>€/kWh</v>
      </c>
      <c r="N166" s="540">
        <f>IF('3'!L70="",L166,'3'!L70/J166)</f>
        <v>0</v>
      </c>
      <c r="O166" s="324" t="str">
        <f t="shared" si="15"/>
        <v>€/kWh</v>
      </c>
    </row>
    <row r="167" spans="2:15" ht="15" hidden="1" x14ac:dyDescent="0.25"/>
    <row r="168" spans="2:15" ht="15" hidden="1" x14ac:dyDescent="0.25">
      <c r="B168" s="502" t="str">
        <f>B140</f>
        <v>ME</v>
      </c>
      <c r="C168" s="503"/>
      <c r="D168" s="504"/>
      <c r="E168" s="505">
        <v>1</v>
      </c>
    </row>
    <row r="169" spans="2:15" ht="15" hidden="1" x14ac:dyDescent="0.25">
      <c r="B169" s="506">
        <v>1</v>
      </c>
      <c r="C169" s="93" t="str">
        <f>VLOOKUP(VLOOKUP(E151,B152:C166,2,FALSE),Parameters!D5:F19,3,FALSE)</f>
        <v>Sm³</v>
      </c>
      <c r="D169" s="507"/>
      <c r="E169" s="504"/>
      <c r="F169" s="92">
        <f>B169</f>
        <v>1</v>
      </c>
    </row>
    <row r="170" spans="2:15" ht="15" hidden="1" x14ac:dyDescent="0.25">
      <c r="B170" s="508">
        <v>2</v>
      </c>
      <c r="C170" s="509" t="str">
        <f>IF(Translation!C15=C169,"",Translation!C15)</f>
        <v>kWh</v>
      </c>
      <c r="D170" s="503"/>
      <c r="E170" s="504"/>
      <c r="F170" s="92">
        <f t="shared" ref="F170:F171" si="16">B170</f>
        <v>2</v>
      </c>
    </row>
    <row r="171" spans="2:15" ht="15" hidden="1" x14ac:dyDescent="0.25">
      <c r="B171" s="508">
        <v>3</v>
      </c>
      <c r="C171" s="509"/>
      <c r="D171" s="503"/>
      <c r="E171" s="504"/>
      <c r="F171" s="92">
        <f t="shared" si="16"/>
        <v>3</v>
      </c>
    </row>
    <row r="172" spans="2:15" ht="15" hidden="1" x14ac:dyDescent="0.25"/>
    <row r="173" spans="2:15" ht="15" hidden="1" x14ac:dyDescent="0.25"/>
    <row r="174" spans="2:15" ht="15" x14ac:dyDescent="0.25"/>
    <row r="175" spans="2:15" ht="15" x14ac:dyDescent="0.25"/>
    <row r="176" spans="2:15"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sheetData>
  <sheetProtection password="CFB9" sheet="1" objects="1" scenarios="1" selectLockedCells="1"/>
  <mergeCells count="44">
    <mergeCell ref="P2:Q2"/>
    <mergeCell ref="J2:O2"/>
    <mergeCell ref="K33:L33"/>
    <mergeCell ref="H33:I33"/>
    <mergeCell ref="E21:H21"/>
    <mergeCell ref="G6:P6"/>
    <mergeCell ref="G8:P8"/>
    <mergeCell ref="G10:P10"/>
    <mergeCell ref="G12:P12"/>
    <mergeCell ref="G14:P14"/>
    <mergeCell ref="G16:P16"/>
    <mergeCell ref="D33:E33"/>
    <mergeCell ref="D29:E29"/>
    <mergeCell ref="N33:Q38"/>
    <mergeCell ref="D37:E37"/>
    <mergeCell ref="I71:J71"/>
    <mergeCell ref="H29:I29"/>
    <mergeCell ref="I73:J73"/>
    <mergeCell ref="I75:J75"/>
    <mergeCell ref="I44:J44"/>
    <mergeCell ref="I46:J46"/>
    <mergeCell ref="H42:K42"/>
    <mergeCell ref="H69:K69"/>
    <mergeCell ref="H37:I37"/>
    <mergeCell ref="I48:J48"/>
    <mergeCell ref="H56:K56"/>
    <mergeCell ref="I58:J58"/>
    <mergeCell ref="I60:J60"/>
    <mergeCell ref="I62:J62"/>
    <mergeCell ref="N75:O75"/>
    <mergeCell ref="N71:O71"/>
    <mergeCell ref="N73:O73"/>
    <mergeCell ref="N48:O48"/>
    <mergeCell ref="S8:AA10"/>
    <mergeCell ref="S11:AA13"/>
    <mergeCell ref="S14:AA17"/>
    <mergeCell ref="N44:O44"/>
    <mergeCell ref="N46:O46"/>
    <mergeCell ref="M69:P69"/>
    <mergeCell ref="M42:P42"/>
    <mergeCell ref="M56:P56"/>
    <mergeCell ref="N58:O58"/>
    <mergeCell ref="N60:O60"/>
    <mergeCell ref="N62:O62"/>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B92:E98 B100:E106 B99:D99 B108:E122 B107:D107 B124:E139 B123:D123 B91:D91 B141:E144 B140:D140 B145:D145 C152:C166 B151 G152:G166 C169:C170 B168 B146 D146:E146 C146:C149" unlockedFormula="1"/>
    <ignoredError sqref="K60:K62 M125:N135 M124:N124" evalError="1"/>
    <ignoredError sqref="O6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11</xdr:col>
                    <xdr:colOff>266700</xdr:colOff>
                    <xdr:row>19</xdr:row>
                    <xdr:rowOff>171450</xdr:rowOff>
                  </from>
                  <to>
                    <xdr:col>15</xdr:col>
                    <xdr:colOff>571500</xdr:colOff>
                    <xdr:row>21</xdr:row>
                    <xdr:rowOff>38100</xdr:rowOff>
                  </to>
                </anchor>
              </controlPr>
            </control>
          </mc:Choice>
        </mc:AlternateContent>
        <mc:AlternateContent xmlns:mc="http://schemas.openxmlformats.org/markup-compatibility/2006">
          <mc:Choice Requires="x14">
            <control shapeId="6147" r:id="rId5" name="Drop Down 3">
              <controlPr defaultSize="0" autoLine="0" autoPict="0">
                <anchor moveWithCells="1">
                  <from>
                    <xdr:col>11</xdr:col>
                    <xdr:colOff>266700</xdr:colOff>
                    <xdr:row>21</xdr:row>
                    <xdr:rowOff>171450</xdr:rowOff>
                  </from>
                  <to>
                    <xdr:col>15</xdr:col>
                    <xdr:colOff>571500</xdr:colOff>
                    <xdr:row>23</xdr:row>
                    <xdr:rowOff>38100</xdr:rowOff>
                  </to>
                </anchor>
              </controlPr>
            </control>
          </mc:Choice>
        </mc:AlternateContent>
        <mc:AlternateContent xmlns:mc="http://schemas.openxmlformats.org/markup-compatibility/2006">
          <mc:Choice Requires="x14">
            <control shapeId="6148" r:id="rId6" name="Drop Down 4">
              <controlPr defaultSize="0" autoLine="0" autoPict="0">
                <anchor moveWithCells="1">
                  <from>
                    <xdr:col>2</xdr:col>
                    <xdr:colOff>28575</xdr:colOff>
                    <xdr:row>42</xdr:row>
                    <xdr:rowOff>66675</xdr:rowOff>
                  </from>
                  <to>
                    <xdr:col>7</xdr:col>
                    <xdr:colOff>133350</xdr:colOff>
                    <xdr:row>44</xdr:row>
                    <xdr:rowOff>28575</xdr:rowOff>
                  </to>
                </anchor>
              </controlPr>
            </control>
          </mc:Choice>
        </mc:AlternateContent>
        <mc:AlternateContent xmlns:mc="http://schemas.openxmlformats.org/markup-compatibility/2006">
          <mc:Choice Requires="x14">
            <control shapeId="6149" r:id="rId7" name="Drop Down 5">
              <controlPr defaultSize="0" autoLine="0" autoPict="0">
                <anchor moveWithCells="1">
                  <from>
                    <xdr:col>2</xdr:col>
                    <xdr:colOff>28575</xdr:colOff>
                    <xdr:row>46</xdr:row>
                    <xdr:rowOff>66675</xdr:rowOff>
                  </from>
                  <to>
                    <xdr:col>7</xdr:col>
                    <xdr:colOff>133350</xdr:colOff>
                    <xdr:row>48</xdr:row>
                    <xdr:rowOff>28575</xdr:rowOff>
                  </to>
                </anchor>
              </controlPr>
            </control>
          </mc:Choice>
        </mc:AlternateContent>
        <mc:AlternateContent xmlns:mc="http://schemas.openxmlformats.org/markup-compatibility/2006">
          <mc:Choice Requires="x14">
            <control shapeId="6150" r:id="rId8" name="Drop Down 6">
              <controlPr defaultSize="0" autoLine="0" autoPict="0">
                <anchor moveWithCells="1">
                  <from>
                    <xdr:col>11</xdr:col>
                    <xdr:colOff>266700</xdr:colOff>
                    <xdr:row>23</xdr:row>
                    <xdr:rowOff>180975</xdr:rowOff>
                  </from>
                  <to>
                    <xdr:col>15</xdr:col>
                    <xdr:colOff>571500</xdr:colOff>
                    <xdr:row>25</xdr:row>
                    <xdr:rowOff>47625</xdr:rowOff>
                  </to>
                </anchor>
              </controlPr>
            </control>
          </mc:Choice>
        </mc:AlternateContent>
        <mc:AlternateContent xmlns:mc="http://schemas.openxmlformats.org/markup-compatibility/2006">
          <mc:Choice Requires="x14">
            <control shapeId="6151" r:id="rId9" name="Drop Down 7">
              <controlPr defaultSize="0" autoLine="0" autoPict="0">
                <anchor moveWithCells="1">
                  <from>
                    <xdr:col>2</xdr:col>
                    <xdr:colOff>28575</xdr:colOff>
                    <xdr:row>50</xdr:row>
                    <xdr:rowOff>76200</xdr:rowOff>
                  </from>
                  <to>
                    <xdr:col>7</xdr:col>
                    <xdr:colOff>133350</xdr:colOff>
                    <xdr:row>52</xdr:row>
                    <xdr:rowOff>38100</xdr:rowOff>
                  </to>
                </anchor>
              </controlPr>
            </control>
          </mc:Choice>
        </mc:AlternateContent>
        <mc:AlternateContent xmlns:mc="http://schemas.openxmlformats.org/markup-compatibility/2006">
          <mc:Choice Requires="x14">
            <control shapeId="6152" r:id="rId10" name="Drop Down 8">
              <controlPr defaultSize="0" autoLine="0" autoPict="0">
                <anchor moveWithCells="1">
                  <from>
                    <xdr:col>2</xdr:col>
                    <xdr:colOff>28575</xdr:colOff>
                    <xdr:row>56</xdr:row>
                    <xdr:rowOff>66675</xdr:rowOff>
                  </from>
                  <to>
                    <xdr:col>7</xdr:col>
                    <xdr:colOff>133350</xdr:colOff>
                    <xdr:row>58</xdr:row>
                    <xdr:rowOff>28575</xdr:rowOff>
                  </to>
                </anchor>
              </controlPr>
            </control>
          </mc:Choice>
        </mc:AlternateContent>
        <mc:AlternateContent xmlns:mc="http://schemas.openxmlformats.org/markup-compatibility/2006">
          <mc:Choice Requires="x14">
            <control shapeId="6153" r:id="rId11" name="Drop Down 9">
              <controlPr defaultSize="0" autoLine="0" autoPict="0">
                <anchor moveWithCells="1">
                  <from>
                    <xdr:col>2</xdr:col>
                    <xdr:colOff>28575</xdr:colOff>
                    <xdr:row>60</xdr:row>
                    <xdr:rowOff>66675</xdr:rowOff>
                  </from>
                  <to>
                    <xdr:col>7</xdr:col>
                    <xdr:colOff>133350</xdr:colOff>
                    <xdr:row>62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
    <tabColor rgb="FF00B050"/>
  </sheetPr>
  <dimension ref="B2:R203"/>
  <sheetViews>
    <sheetView workbookViewId="0">
      <selection activeCell="O7" sqref="O7:P7"/>
    </sheetView>
  </sheetViews>
  <sheetFormatPr defaultColWidth="6.42578125" defaultRowHeight="20.100000000000001" customHeight="1" x14ac:dyDescent="0.25"/>
  <cols>
    <col min="1" max="1" width="2.7109375" style="9" customWidth="1"/>
    <col min="2" max="2" width="3.42578125" style="9" customWidth="1"/>
    <col min="3" max="3" width="3" style="9" customWidth="1"/>
    <col min="4" max="16" width="9.140625" style="9" customWidth="1"/>
    <col min="17" max="17" width="3.42578125" style="9" customWidth="1"/>
    <col min="18" max="18" width="2.7109375" style="9" customWidth="1"/>
    <col min="19" max="16384" width="6.42578125" style="9"/>
  </cols>
  <sheetData>
    <row r="2" spans="2:18" ht="60.75" customHeight="1" x14ac:dyDescent="0.25">
      <c r="H2" s="94"/>
      <c r="I2" s="94"/>
      <c r="J2" s="673" t="str">
        <f>'2'!J2:O2</f>
        <v>Subsidy
Evaluation
Tool</v>
      </c>
      <c r="K2" s="674"/>
      <c r="L2" s="674"/>
      <c r="M2" s="674"/>
      <c r="N2" s="674"/>
      <c r="O2" s="674"/>
      <c r="P2" s="672" t="str">
        <f>'2'!P2:Q2</f>
        <v>SET</v>
      </c>
      <c r="Q2" s="672"/>
    </row>
    <row r="4" spans="2:18" ht="20.100000000000001" customHeight="1" x14ac:dyDescent="0.25">
      <c r="B4" s="60"/>
      <c r="C4" s="61" t="str">
        <f>"4.  "&amp;Translation!C73</f>
        <v>4.  PREDVIDENI POSEGI IN OCENA NALOŽB</v>
      </c>
      <c r="D4" s="61"/>
      <c r="E4" s="62"/>
      <c r="F4" s="62"/>
      <c r="G4" s="62"/>
      <c r="H4" s="62"/>
      <c r="I4" s="62"/>
      <c r="J4" s="62"/>
      <c r="K4" s="62"/>
      <c r="L4" s="62"/>
      <c r="M4" s="62"/>
      <c r="N4" s="62"/>
      <c r="O4" s="62"/>
      <c r="P4" s="62"/>
      <c r="Q4" s="63"/>
    </row>
    <row r="5" spans="2:18" ht="15" x14ac:dyDescent="0.25">
      <c r="B5" s="64"/>
      <c r="C5" s="65"/>
      <c r="D5" s="65"/>
      <c r="E5" s="65"/>
      <c r="F5" s="65"/>
      <c r="G5" s="65"/>
      <c r="H5" s="65"/>
      <c r="I5" s="65"/>
      <c r="J5" s="65"/>
      <c r="K5" s="65"/>
      <c r="L5" s="65"/>
      <c r="M5" s="65"/>
      <c r="N5" s="65"/>
      <c r="O5" s="685" t="str">
        <f>Translation!C105</f>
        <v>ocenjeni stroški</v>
      </c>
      <c r="P5" s="685"/>
      <c r="Q5" s="66"/>
    </row>
    <row r="6" spans="2:18" ht="8.1" customHeight="1" x14ac:dyDescent="0.25">
      <c r="B6" s="64"/>
      <c r="C6" s="65"/>
      <c r="D6" s="65"/>
      <c r="E6" s="65"/>
      <c r="F6" s="65"/>
      <c r="G6" s="65"/>
      <c r="H6" s="65"/>
      <c r="I6" s="65"/>
      <c r="J6" s="65"/>
      <c r="K6" s="65"/>
      <c r="L6" s="65"/>
      <c r="M6" s="65"/>
      <c r="N6" s="65"/>
      <c r="O6" s="65"/>
      <c r="P6" s="65"/>
      <c r="Q6" s="66"/>
    </row>
    <row r="7" spans="2:18" ht="15" customHeight="1" x14ac:dyDescent="0.25">
      <c r="B7" s="64"/>
      <c r="C7" s="71" t="s">
        <v>10</v>
      </c>
      <c r="D7" s="97" t="str">
        <f>Translation!C74</f>
        <v>Izolacija fasade (ETICS)</v>
      </c>
      <c r="E7" s="65"/>
      <c r="F7" s="65"/>
      <c r="G7" s="65"/>
      <c r="H7" s="65"/>
      <c r="I7" s="65"/>
      <c r="J7" s="65"/>
      <c r="K7" s="65"/>
      <c r="L7" s="65"/>
      <c r="M7" s="65"/>
      <c r="N7" s="68"/>
      <c r="O7" s="666"/>
      <c r="P7" s="667"/>
      <c r="Q7" s="65" t="str">
        <f>" "&amp;Translation!C10</f>
        <v xml:space="preserve"> €</v>
      </c>
      <c r="R7" s="197"/>
    </row>
    <row r="8" spans="2:18" ht="15" customHeight="1" x14ac:dyDescent="0.25">
      <c r="B8" s="64"/>
      <c r="C8" s="71"/>
      <c r="D8" s="97"/>
      <c r="E8" s="65"/>
      <c r="F8" s="65"/>
      <c r="G8" s="65"/>
      <c r="H8" s="65"/>
      <c r="I8" s="65"/>
      <c r="J8" s="65"/>
      <c r="K8" s="65"/>
      <c r="L8" s="65"/>
      <c r="M8" s="65"/>
      <c r="N8" s="65"/>
      <c r="O8" s="65"/>
      <c r="P8" s="65"/>
      <c r="Q8" s="65"/>
      <c r="R8" s="197"/>
    </row>
    <row r="9" spans="2:18" ht="15" customHeight="1" x14ac:dyDescent="0.25">
      <c r="B9" s="64"/>
      <c r="C9" s="71" t="s">
        <v>11</v>
      </c>
      <c r="D9" s="97" t="str">
        <f>Translation!C75</f>
        <v>Notranja izolacija zunanjih sten</v>
      </c>
      <c r="E9" s="65"/>
      <c r="F9" s="65"/>
      <c r="G9" s="65"/>
      <c r="H9" s="65"/>
      <c r="I9" s="65"/>
      <c r="J9" s="65"/>
      <c r="K9" s="65"/>
      <c r="L9" s="65"/>
      <c r="M9" s="65"/>
      <c r="N9" s="68"/>
      <c r="O9" s="666"/>
      <c r="P9" s="667"/>
      <c r="Q9" s="65" t="str">
        <f>" "&amp;Translation!C10</f>
        <v xml:space="preserve"> €</v>
      </c>
      <c r="R9" s="197"/>
    </row>
    <row r="10" spans="2:18" ht="15" customHeight="1" x14ac:dyDescent="0.25">
      <c r="B10" s="64"/>
      <c r="C10" s="71"/>
      <c r="D10" s="97"/>
      <c r="E10" s="65"/>
      <c r="F10" s="65"/>
      <c r="G10" s="65"/>
      <c r="H10" s="65"/>
      <c r="I10" s="65"/>
      <c r="J10" s="65"/>
      <c r="K10" s="65"/>
      <c r="L10" s="65"/>
      <c r="M10" s="65"/>
      <c r="N10" s="65"/>
      <c r="O10" s="65"/>
      <c r="P10" s="65"/>
      <c r="Q10" s="65"/>
      <c r="R10" s="197"/>
    </row>
    <row r="11" spans="2:18" ht="15" customHeight="1" x14ac:dyDescent="0.25">
      <c r="B11" s="64"/>
      <c r="C11" s="71" t="s">
        <v>12</v>
      </c>
      <c r="D11" s="97" t="str">
        <f>Translation!C76</f>
        <v>Izolacija strehe</v>
      </c>
      <c r="E11" s="65"/>
      <c r="F11" s="65"/>
      <c r="G11" s="65"/>
      <c r="H11" s="65"/>
      <c r="I11" s="65"/>
      <c r="J11" s="65"/>
      <c r="K11" s="65"/>
      <c r="L11" s="65"/>
      <c r="M11" s="65"/>
      <c r="N11" s="65"/>
      <c r="O11" s="666"/>
      <c r="P11" s="667"/>
      <c r="Q11" s="65" t="str">
        <f>" "&amp;Translation!C10</f>
        <v xml:space="preserve"> €</v>
      </c>
      <c r="R11" s="197"/>
    </row>
    <row r="12" spans="2:18" ht="15" customHeight="1" x14ac:dyDescent="0.25">
      <c r="B12" s="64"/>
      <c r="C12" s="71"/>
      <c r="D12" s="97"/>
      <c r="E12" s="65"/>
      <c r="F12" s="65"/>
      <c r="G12" s="65"/>
      <c r="H12" s="65"/>
      <c r="I12" s="65"/>
      <c r="J12" s="65"/>
      <c r="K12" s="65"/>
      <c r="L12" s="65"/>
      <c r="M12" s="65"/>
      <c r="N12" s="65"/>
      <c r="O12" s="65"/>
      <c r="P12" s="65"/>
      <c r="Q12" s="65"/>
      <c r="R12" s="197"/>
    </row>
    <row r="13" spans="2:18" ht="15" customHeight="1" x14ac:dyDescent="0.25">
      <c r="B13" s="64"/>
      <c r="C13" s="71" t="s">
        <v>13</v>
      </c>
      <c r="D13" s="97" t="str">
        <f>Translation!C77</f>
        <v>Izolacija podstrešja</v>
      </c>
      <c r="E13" s="65"/>
      <c r="F13" s="65"/>
      <c r="G13" s="65"/>
      <c r="H13" s="65"/>
      <c r="I13" s="65"/>
      <c r="J13" s="65"/>
      <c r="K13" s="65"/>
      <c r="L13" s="65"/>
      <c r="M13" s="65"/>
      <c r="N13" s="65"/>
      <c r="O13" s="666"/>
      <c r="P13" s="667"/>
      <c r="Q13" s="65" t="str">
        <f>" "&amp;Translation!C10</f>
        <v xml:space="preserve"> €</v>
      </c>
      <c r="R13" s="197"/>
    </row>
    <row r="14" spans="2:18" ht="15" customHeight="1" x14ac:dyDescent="0.25">
      <c r="B14" s="64"/>
      <c r="C14" s="71"/>
      <c r="D14" s="97"/>
      <c r="E14" s="65"/>
      <c r="F14" s="65"/>
      <c r="G14" s="65"/>
      <c r="H14" s="65"/>
      <c r="I14" s="65"/>
      <c r="J14" s="65"/>
      <c r="K14" s="65"/>
      <c r="L14" s="65"/>
      <c r="M14" s="65"/>
      <c r="N14" s="65"/>
      <c r="O14" s="65"/>
      <c r="P14" s="65"/>
      <c r="Q14" s="65"/>
      <c r="R14" s="197"/>
    </row>
    <row r="15" spans="2:18" ht="15" customHeight="1" x14ac:dyDescent="0.25">
      <c r="B15" s="64"/>
      <c r="C15" s="71" t="s">
        <v>14</v>
      </c>
      <c r="D15" s="97" t="str">
        <f>Translation!C78</f>
        <v>Izolacija kletne etaže</v>
      </c>
      <c r="E15" s="65"/>
      <c r="F15" s="65"/>
      <c r="G15" s="65"/>
      <c r="H15" s="65"/>
      <c r="I15" s="65"/>
      <c r="J15" s="65"/>
      <c r="K15" s="65"/>
      <c r="L15" s="65"/>
      <c r="M15" s="65"/>
      <c r="N15" s="65"/>
      <c r="O15" s="666"/>
      <c r="P15" s="667"/>
      <c r="Q15" s="65" t="str">
        <f>" "&amp;Translation!C10</f>
        <v xml:space="preserve"> €</v>
      </c>
      <c r="R15" s="197"/>
    </row>
    <row r="16" spans="2:18" ht="15" customHeight="1" x14ac:dyDescent="0.25">
      <c r="B16" s="64"/>
      <c r="C16" s="71"/>
      <c r="D16" s="97"/>
      <c r="E16" s="65"/>
      <c r="F16" s="65"/>
      <c r="G16" s="65"/>
      <c r="H16" s="65"/>
      <c r="I16" s="65"/>
      <c r="J16" s="65"/>
      <c r="K16" s="65"/>
      <c r="L16" s="65"/>
      <c r="M16" s="65"/>
      <c r="N16" s="65"/>
      <c r="O16" s="65"/>
      <c r="P16" s="65"/>
      <c r="Q16" s="65"/>
      <c r="R16" s="197"/>
    </row>
    <row r="17" spans="2:18" ht="15" customHeight="1" x14ac:dyDescent="0.25">
      <c r="B17" s="64"/>
      <c r="C17" s="71" t="s">
        <v>15</v>
      </c>
      <c r="D17" s="97" t="str">
        <f>Translation!C79</f>
        <v>Zamenjava oken</v>
      </c>
      <c r="E17" s="65"/>
      <c r="F17" s="65"/>
      <c r="G17" s="65"/>
      <c r="H17" s="65"/>
      <c r="I17" s="65"/>
      <c r="J17" s="65"/>
      <c r="K17" s="65"/>
      <c r="L17" s="65"/>
      <c r="M17" s="65"/>
      <c r="N17" s="65"/>
      <c r="O17" s="666"/>
      <c r="P17" s="667"/>
      <c r="Q17" s="65" t="str">
        <f>" "&amp;Translation!C10</f>
        <v xml:space="preserve"> €</v>
      </c>
      <c r="R17" s="197"/>
    </row>
    <row r="18" spans="2:18" ht="15" customHeight="1" x14ac:dyDescent="0.25">
      <c r="B18" s="64"/>
      <c r="C18" s="71"/>
      <c r="D18" s="97"/>
      <c r="E18" s="65"/>
      <c r="F18" s="65"/>
      <c r="G18" s="65"/>
      <c r="H18" s="65"/>
      <c r="I18" s="65"/>
      <c r="J18" s="65"/>
      <c r="K18" s="65"/>
      <c r="L18" s="65"/>
      <c r="M18" s="65"/>
      <c r="N18" s="65"/>
      <c r="O18" s="69"/>
      <c r="P18" s="70"/>
      <c r="Q18" s="70"/>
      <c r="R18" s="197"/>
    </row>
    <row r="19" spans="2:18" ht="15" customHeight="1" x14ac:dyDescent="0.25">
      <c r="B19" s="64"/>
      <c r="C19" s="71" t="s">
        <v>16</v>
      </c>
      <c r="D19" s="97" t="str">
        <f>Translation!C80</f>
        <v>Zamenjava ogrevalnega kotla</v>
      </c>
      <c r="E19" s="65"/>
      <c r="F19" s="65"/>
      <c r="G19" s="65"/>
      <c r="H19" s="65"/>
      <c r="I19" s="65"/>
      <c r="J19" s="65"/>
      <c r="K19" s="65"/>
      <c r="L19" s="65"/>
      <c r="M19" s="65"/>
      <c r="N19" s="65"/>
      <c r="O19" s="666"/>
      <c r="P19" s="667"/>
      <c r="Q19" s="65" t="str">
        <f>" "&amp;Translation!C10</f>
        <v xml:space="preserve"> €</v>
      </c>
      <c r="R19" s="197"/>
    </row>
    <row r="20" spans="2:18" ht="15" customHeight="1" x14ac:dyDescent="0.25">
      <c r="B20" s="64"/>
      <c r="C20" s="71"/>
      <c r="D20" s="97"/>
      <c r="E20" s="65"/>
      <c r="F20" s="65"/>
      <c r="G20" s="65"/>
      <c r="H20" s="65"/>
      <c r="I20" s="65"/>
      <c r="J20" s="65"/>
      <c r="K20" s="65"/>
      <c r="L20" s="65"/>
      <c r="M20" s="65"/>
      <c r="N20" s="65"/>
      <c r="O20" s="65"/>
      <c r="P20" s="70"/>
      <c r="Q20" s="70"/>
      <c r="R20" s="197"/>
    </row>
    <row r="21" spans="2:18" ht="15" customHeight="1" x14ac:dyDescent="0.25">
      <c r="B21" s="64"/>
      <c r="C21" s="71" t="s">
        <v>17</v>
      </c>
      <c r="D21" s="97" t="str">
        <f>Translation!C87</f>
        <v>Namestitev termostatskih ventilov</v>
      </c>
      <c r="E21" s="65"/>
      <c r="F21" s="65"/>
      <c r="G21" s="65"/>
      <c r="H21" s="65"/>
      <c r="I21" s="65"/>
      <c r="J21" s="65"/>
      <c r="K21" s="65"/>
      <c r="L21" s="65"/>
      <c r="M21" s="65"/>
      <c r="N21" s="65"/>
      <c r="O21" s="666"/>
      <c r="P21" s="667"/>
      <c r="Q21" s="65" t="str">
        <f>" "&amp;Translation!C10</f>
        <v xml:space="preserve"> €</v>
      </c>
      <c r="R21" s="197"/>
    </row>
    <row r="22" spans="2:18" ht="15" customHeight="1" x14ac:dyDescent="0.25">
      <c r="B22" s="64"/>
      <c r="C22" s="71"/>
      <c r="D22" s="97"/>
      <c r="E22" s="65"/>
      <c r="F22" s="65"/>
      <c r="G22" s="65"/>
      <c r="H22" s="65"/>
      <c r="I22" s="65"/>
      <c r="J22" s="65"/>
      <c r="K22" s="65"/>
      <c r="L22" s="65"/>
      <c r="M22" s="65"/>
      <c r="N22" s="65"/>
      <c r="O22" s="69"/>
      <c r="P22" s="70"/>
      <c r="Q22" s="70"/>
      <c r="R22" s="197"/>
    </row>
    <row r="23" spans="2:18" ht="15" customHeight="1" x14ac:dyDescent="0.25">
      <c r="B23" s="64"/>
      <c r="C23" s="71" t="s">
        <v>18</v>
      </c>
      <c r="D23" s="97" t="str">
        <f>Translation!C88</f>
        <v>Izboljšanje energetske učinkovitosti ogrevalnega sistema (regulacija, izolacija ravzovdov, distribucija)</v>
      </c>
      <c r="E23" s="65"/>
      <c r="F23" s="65"/>
      <c r="G23" s="65"/>
      <c r="H23" s="65"/>
      <c r="I23" s="65"/>
      <c r="J23" s="65"/>
      <c r="K23" s="65"/>
      <c r="L23" s="65"/>
      <c r="M23" s="65"/>
      <c r="N23" s="65"/>
      <c r="O23" s="666"/>
      <c r="P23" s="667"/>
      <c r="Q23" s="65" t="str">
        <f>" "&amp;Translation!C10</f>
        <v xml:space="preserve"> €</v>
      </c>
      <c r="R23" s="197"/>
    </row>
    <row r="24" spans="2:18" ht="15" customHeight="1" x14ac:dyDescent="0.25">
      <c r="B24" s="64"/>
      <c r="C24" s="71"/>
      <c r="D24" s="97"/>
      <c r="E24" s="65"/>
      <c r="F24" s="65"/>
      <c r="G24" s="65"/>
      <c r="H24" s="65"/>
      <c r="I24" s="65"/>
      <c r="J24" s="65"/>
      <c r="K24" s="65"/>
      <c r="L24" s="65"/>
      <c r="M24" s="65"/>
      <c r="N24" s="65"/>
      <c r="O24" s="69"/>
      <c r="P24" s="70"/>
      <c r="Q24" s="70"/>
      <c r="R24" s="197"/>
    </row>
    <row r="25" spans="2:18" ht="15" customHeight="1" x14ac:dyDescent="0.25">
      <c r="B25" s="64"/>
      <c r="C25" s="71" t="s">
        <v>19</v>
      </c>
      <c r="D25" s="97" t="str">
        <f>Translation!C89</f>
        <v>Sistem za rekuperacijo toplotne energije na obstoječih prezračevalnih sistemih</v>
      </c>
      <c r="E25" s="65"/>
      <c r="F25" s="65"/>
      <c r="G25" s="65"/>
      <c r="H25" s="65"/>
      <c r="I25" s="65"/>
      <c r="J25" s="65"/>
      <c r="K25" s="65"/>
      <c r="L25" s="65"/>
      <c r="M25" s="65"/>
      <c r="N25" s="65"/>
      <c r="O25" s="666"/>
      <c r="P25" s="667"/>
      <c r="Q25" s="65" t="str">
        <f>" "&amp;Translation!C10</f>
        <v xml:space="preserve"> €</v>
      </c>
      <c r="R25" s="197"/>
    </row>
    <row r="26" spans="2:18" ht="15" customHeight="1" x14ac:dyDescent="0.25">
      <c r="B26" s="64"/>
      <c r="C26" s="71"/>
      <c r="D26" s="97"/>
      <c r="E26" s="65"/>
      <c r="F26" s="65"/>
      <c r="G26" s="65"/>
      <c r="H26" s="65"/>
      <c r="I26" s="65"/>
      <c r="J26" s="65"/>
      <c r="K26" s="65"/>
      <c r="L26" s="65"/>
      <c r="M26" s="65"/>
      <c r="N26" s="65"/>
      <c r="O26" s="69"/>
      <c r="P26" s="70"/>
      <c r="Q26" s="70"/>
      <c r="R26" s="197"/>
    </row>
    <row r="27" spans="2:18" ht="15" customHeight="1" x14ac:dyDescent="0.25">
      <c r="B27" s="64"/>
      <c r="C27" s="71" t="s">
        <v>20</v>
      </c>
      <c r="D27" s="97" t="str">
        <f>Translation!C90</f>
        <v>Zamenjava svetil</v>
      </c>
      <c r="E27" s="65"/>
      <c r="F27" s="65"/>
      <c r="G27" s="65"/>
      <c r="H27" s="65"/>
      <c r="I27" s="65"/>
      <c r="J27" s="65"/>
      <c r="K27" s="65"/>
      <c r="L27" s="65"/>
      <c r="M27" s="65"/>
      <c r="N27" s="65"/>
      <c r="O27" s="666"/>
      <c r="P27" s="667"/>
      <c r="Q27" s="65" t="str">
        <f>" "&amp;Translation!C10</f>
        <v xml:space="preserve"> €</v>
      </c>
      <c r="R27" s="197"/>
    </row>
    <row r="28" spans="2:18" ht="15" customHeight="1" x14ac:dyDescent="0.25">
      <c r="B28" s="64"/>
      <c r="C28" s="71"/>
      <c r="D28" s="97"/>
      <c r="E28" s="65"/>
      <c r="F28" s="65"/>
      <c r="G28" s="65"/>
      <c r="H28" s="65"/>
      <c r="I28" s="65"/>
      <c r="J28" s="65"/>
      <c r="K28" s="65"/>
      <c r="L28" s="65"/>
      <c r="M28" s="65"/>
      <c r="N28" s="65"/>
      <c r="O28" s="65"/>
      <c r="P28" s="65"/>
      <c r="Q28" s="65"/>
      <c r="R28" s="197"/>
    </row>
    <row r="29" spans="2:18" ht="15" customHeight="1" x14ac:dyDescent="0.25">
      <c r="B29" s="64"/>
      <c r="C29" s="71" t="s">
        <v>21</v>
      </c>
      <c r="D29" s="97" t="str">
        <f>Translation!C91&amp;" ("&amp;Translation!C92&amp;")"</f>
        <v>Izboljšanje energetske učinkovitosti sistema razsvetljave (senzorji gibanja, senzorji osvetljenosti itd.)</v>
      </c>
      <c r="E29" s="65"/>
      <c r="F29" s="65"/>
      <c r="G29" s="65"/>
      <c r="H29" s="65"/>
      <c r="I29" s="65"/>
      <c r="J29" s="65"/>
      <c r="K29" s="65"/>
      <c r="L29" s="65"/>
      <c r="M29" s="65"/>
      <c r="N29" s="65"/>
      <c r="O29" s="666"/>
      <c r="P29" s="667"/>
      <c r="Q29" s="65" t="str">
        <f>" "&amp;Translation!C10</f>
        <v xml:space="preserve"> €</v>
      </c>
      <c r="R29" s="197"/>
    </row>
    <row r="30" spans="2:18" ht="15" customHeight="1" x14ac:dyDescent="0.25">
      <c r="B30" s="64"/>
      <c r="C30" s="71"/>
      <c r="D30" s="97"/>
      <c r="E30" s="65"/>
      <c r="F30" s="65"/>
      <c r="G30" s="65"/>
      <c r="H30" s="65"/>
      <c r="I30" s="65"/>
      <c r="J30" s="65"/>
      <c r="K30" s="65"/>
      <c r="L30" s="65"/>
      <c r="M30" s="65"/>
      <c r="N30" s="65"/>
      <c r="O30" s="69"/>
      <c r="P30" s="70"/>
      <c r="Q30" s="70"/>
      <c r="R30" s="197"/>
    </row>
    <row r="31" spans="2:18" ht="15" customHeight="1" x14ac:dyDescent="0.25">
      <c r="B31" s="64"/>
      <c r="C31" s="71" t="s">
        <v>22</v>
      </c>
      <c r="D31" s="97" t="str">
        <f>Translation!C93&amp;" ("&amp;Translation!C104&amp;")"</f>
        <v>Fotovoltaična elektrarna (za pokrivanje potreb po ogrevanju)</v>
      </c>
      <c r="E31" s="65"/>
      <c r="F31" s="65"/>
      <c r="G31" s="65"/>
      <c r="H31" s="65"/>
      <c r="I31" s="65"/>
      <c r="J31" s="65"/>
      <c r="K31" s="65"/>
      <c r="L31" s="65"/>
      <c r="M31" s="65"/>
      <c r="N31" s="65"/>
      <c r="O31" s="666"/>
      <c r="P31" s="667"/>
      <c r="Q31" s="65" t="str">
        <f>" "&amp;Translation!C10</f>
        <v xml:space="preserve"> €</v>
      </c>
      <c r="R31" s="197"/>
    </row>
    <row r="32" spans="2:18" ht="15" customHeight="1" x14ac:dyDescent="0.25">
      <c r="B32" s="64"/>
      <c r="C32" s="71"/>
      <c r="D32" s="98"/>
      <c r="E32" s="65"/>
      <c r="F32" s="65"/>
      <c r="G32" s="65"/>
      <c r="H32" s="65"/>
      <c r="I32" s="65"/>
      <c r="J32" s="65"/>
      <c r="K32" s="65"/>
      <c r="L32" s="65"/>
      <c r="M32" s="65"/>
      <c r="N32" s="65"/>
      <c r="O32" s="65"/>
      <c r="P32" s="70"/>
      <c r="Q32" s="70"/>
      <c r="R32" s="197"/>
    </row>
    <row r="33" spans="2:18" ht="15" customHeight="1" x14ac:dyDescent="0.25">
      <c r="B33" s="64"/>
      <c r="C33" s="71" t="s">
        <v>44</v>
      </c>
      <c r="D33" s="97" t="str">
        <f>Translation!C93&amp;" ("&amp;Translation!C103&amp;")"</f>
        <v>Fotovoltaična elektrarna (
kritje porabe električne energije)</v>
      </c>
      <c r="E33" s="65"/>
      <c r="F33" s="65"/>
      <c r="G33" s="65"/>
      <c r="H33" s="65"/>
      <c r="I33" s="65"/>
      <c r="J33" s="65"/>
      <c r="K33" s="65"/>
      <c r="L33" s="65"/>
      <c r="M33" s="65"/>
      <c r="N33" s="65"/>
      <c r="O33" s="666"/>
      <c r="P33" s="667"/>
      <c r="Q33" s="65" t="str">
        <f>Q31</f>
        <v xml:space="preserve"> €</v>
      </c>
      <c r="R33" s="197"/>
    </row>
    <row r="34" spans="2:18" ht="15" customHeight="1" x14ac:dyDescent="0.25">
      <c r="B34" s="64"/>
      <c r="C34" s="71"/>
      <c r="D34" s="98"/>
      <c r="E34" s="65"/>
      <c r="F34" s="65"/>
      <c r="G34" s="65"/>
      <c r="H34" s="65"/>
      <c r="I34" s="65"/>
      <c r="J34" s="65"/>
      <c r="K34" s="65"/>
      <c r="L34" s="65"/>
      <c r="M34" s="65"/>
      <c r="N34" s="65"/>
      <c r="O34" s="65"/>
      <c r="P34" s="70"/>
      <c r="Q34" s="70"/>
      <c r="R34" s="197"/>
    </row>
    <row r="35" spans="2:18" ht="15" customHeight="1" x14ac:dyDescent="0.25">
      <c r="B35" s="64"/>
      <c r="C35" s="71" t="s">
        <v>45</v>
      </c>
      <c r="D35" s="98" t="str">
        <f>Translation!C102&amp;" ("&amp;Translation!C60&amp;"):"</f>
        <v>Drugo (raba toplote):</v>
      </c>
      <c r="E35" s="65"/>
      <c r="F35" s="65"/>
      <c r="G35" s="675"/>
      <c r="H35" s="675"/>
      <c r="I35" s="675"/>
      <c r="J35" s="675"/>
      <c r="K35" s="675"/>
      <c r="L35" s="675"/>
      <c r="M35" s="675"/>
      <c r="N35" s="65"/>
      <c r="O35" s="666"/>
      <c r="P35" s="667"/>
      <c r="Q35" s="65" t="str">
        <f>" "&amp;Translation!C10</f>
        <v xml:space="preserve"> €</v>
      </c>
      <c r="R35" s="197"/>
    </row>
    <row r="36" spans="2:18" ht="15" customHeight="1" x14ac:dyDescent="0.25">
      <c r="B36" s="64"/>
      <c r="C36" s="71"/>
      <c r="D36" s="98"/>
      <c r="E36" s="65"/>
      <c r="F36" s="65"/>
      <c r="G36" s="65"/>
      <c r="H36" s="65"/>
      <c r="I36" s="65"/>
      <c r="J36" s="65"/>
      <c r="K36" s="65"/>
      <c r="L36" s="65"/>
      <c r="M36" s="65"/>
      <c r="N36" s="65"/>
      <c r="O36" s="65"/>
      <c r="P36" s="70"/>
      <c r="Q36" s="70"/>
      <c r="R36" s="197"/>
    </row>
    <row r="37" spans="2:18" ht="15" customHeight="1" x14ac:dyDescent="0.25">
      <c r="B37" s="64"/>
      <c r="C37" s="71" t="s">
        <v>46</v>
      </c>
      <c r="D37" s="98" t="str">
        <f>Translation!C102&amp;" ("&amp;Translation!C61&amp;"):"</f>
        <v>Drugo (raba elektrike):</v>
      </c>
      <c r="E37" s="65"/>
      <c r="F37" s="65"/>
      <c r="G37" s="675"/>
      <c r="H37" s="675"/>
      <c r="I37" s="675"/>
      <c r="J37" s="675"/>
      <c r="K37" s="675"/>
      <c r="L37" s="675"/>
      <c r="M37" s="675"/>
      <c r="N37" s="65"/>
      <c r="O37" s="666"/>
      <c r="P37" s="667"/>
      <c r="Q37" s="65" t="str">
        <f>" "&amp;Translation!C10</f>
        <v xml:space="preserve"> €</v>
      </c>
      <c r="R37" s="197"/>
    </row>
    <row r="38" spans="2:18" ht="15" customHeight="1" x14ac:dyDescent="0.25">
      <c r="B38" s="64"/>
      <c r="C38" s="71"/>
      <c r="D38" s="98"/>
      <c r="E38" s="65"/>
      <c r="F38" s="65"/>
      <c r="G38" s="65"/>
      <c r="H38" s="65"/>
      <c r="I38" s="65"/>
      <c r="J38" s="65"/>
      <c r="K38" s="65"/>
      <c r="L38" s="65"/>
      <c r="M38" s="65"/>
      <c r="N38" s="65"/>
      <c r="O38" s="69"/>
      <c r="P38" s="70"/>
      <c r="Q38" s="65"/>
      <c r="R38" s="197"/>
    </row>
    <row r="39" spans="2:18" ht="15" x14ac:dyDescent="0.25">
      <c r="B39" s="64"/>
      <c r="C39" s="65"/>
      <c r="D39" s="65"/>
      <c r="E39" s="65"/>
      <c r="F39" s="65"/>
      <c r="G39" s="65"/>
      <c r="H39" s="65"/>
      <c r="I39" s="65"/>
      <c r="J39" s="65"/>
      <c r="K39" s="65"/>
      <c r="L39" s="65"/>
      <c r="M39" s="65"/>
      <c r="N39" s="65"/>
      <c r="O39" s="69"/>
      <c r="P39" s="70"/>
      <c r="Q39" s="70"/>
      <c r="R39" s="197"/>
    </row>
    <row r="40" spans="2:18" ht="15" x14ac:dyDescent="0.25">
      <c r="B40" s="64"/>
      <c r="C40" s="65"/>
      <c r="D40" s="65"/>
      <c r="E40" s="65"/>
      <c r="F40" s="65"/>
      <c r="G40" s="65"/>
      <c r="H40" s="65"/>
      <c r="I40" s="65"/>
      <c r="J40" s="65"/>
      <c r="K40" s="65"/>
      <c r="L40" s="67" t="str">
        <f>Translation!C106&amp;":"</f>
        <v>Stroški načrtovanja in gradnje:</v>
      </c>
      <c r="M40" s="335">
        <v>11</v>
      </c>
      <c r="N40" s="68" t="s">
        <v>521</v>
      </c>
      <c r="O40" s="681">
        <f>SUM(O7:P37)*M40/100</f>
        <v>0</v>
      </c>
      <c r="P40" s="682"/>
      <c r="Q40" s="65" t="str">
        <f>" "&amp;Translation!C10</f>
        <v xml:space="preserve"> €</v>
      </c>
      <c r="R40" s="197"/>
    </row>
    <row r="41" spans="2:18" ht="8.1" customHeight="1" x14ac:dyDescent="0.25">
      <c r="B41" s="64"/>
      <c r="C41" s="65"/>
      <c r="D41" s="65"/>
      <c r="E41" s="65"/>
      <c r="F41" s="65"/>
      <c r="G41" s="65"/>
      <c r="H41" s="65"/>
      <c r="I41" s="65"/>
      <c r="J41" s="65"/>
      <c r="K41" s="65"/>
      <c r="L41" s="67"/>
      <c r="M41" s="65"/>
      <c r="N41" s="65"/>
      <c r="O41" s="333"/>
      <c r="P41" s="334"/>
      <c r="Q41" s="70"/>
      <c r="R41" s="197"/>
    </row>
    <row r="42" spans="2:18" ht="15" x14ac:dyDescent="0.25">
      <c r="B42" s="64"/>
      <c r="C42" s="65"/>
      <c r="D42" s="65"/>
      <c r="E42" s="65"/>
      <c r="F42" s="65"/>
      <c r="G42" s="65"/>
      <c r="H42" s="65"/>
      <c r="I42" s="65"/>
      <c r="J42" s="65"/>
      <c r="K42" s="65"/>
      <c r="L42" s="67" t="str">
        <f>Translation!C107&amp;":"</f>
        <v>Stroški varovanja gradbišča:</v>
      </c>
      <c r="M42" s="335">
        <v>7</v>
      </c>
      <c r="N42" s="65" t="s">
        <v>521</v>
      </c>
      <c r="O42" s="681">
        <f>SUM(O7:P37)*M42/100</f>
        <v>0</v>
      </c>
      <c r="P42" s="682"/>
      <c r="Q42" s="65" t="str">
        <f>" "&amp;Translation!C10</f>
        <v xml:space="preserve"> €</v>
      </c>
      <c r="R42" s="197"/>
    </row>
    <row r="43" spans="2:18" ht="8.1" customHeight="1" x14ac:dyDescent="0.25">
      <c r="B43" s="64"/>
      <c r="C43" s="65"/>
      <c r="D43" s="65"/>
      <c r="E43" s="65"/>
      <c r="F43" s="65"/>
      <c r="G43" s="65"/>
      <c r="H43" s="65"/>
      <c r="I43" s="65"/>
      <c r="J43" s="65"/>
      <c r="K43" s="65"/>
      <c r="L43" s="67"/>
      <c r="M43" s="65"/>
      <c r="N43" s="65"/>
      <c r="O43" s="333"/>
      <c r="P43" s="334"/>
      <c r="Q43" s="70"/>
      <c r="R43" s="197"/>
    </row>
    <row r="44" spans="2:18" ht="15" x14ac:dyDescent="0.25">
      <c r="B44" s="64"/>
      <c r="C44" s="65"/>
      <c r="D44" s="65"/>
      <c r="E44" s="65"/>
      <c r="F44" s="65"/>
      <c r="G44" s="65"/>
      <c r="H44" s="65"/>
      <c r="I44" s="65"/>
      <c r="J44" s="65"/>
      <c r="K44" s="65"/>
      <c r="L44" s="67" t="str">
        <f>Translation!C108&amp;":"</f>
        <v>DDV:</v>
      </c>
      <c r="M44" s="335">
        <v>22</v>
      </c>
      <c r="N44" s="65" t="s">
        <v>521</v>
      </c>
      <c r="O44" s="681">
        <f>SUM(O7:P42)*M44/100</f>
        <v>0</v>
      </c>
      <c r="P44" s="682"/>
      <c r="Q44" s="65" t="str">
        <f>" "&amp;Translation!C10</f>
        <v xml:space="preserve"> €</v>
      </c>
      <c r="R44" s="197"/>
    </row>
    <row r="45" spans="2:18" ht="15" x14ac:dyDescent="0.25">
      <c r="B45" s="64"/>
      <c r="C45" s="65"/>
      <c r="D45" s="65"/>
      <c r="E45" s="65"/>
      <c r="F45" s="65"/>
      <c r="G45" s="65"/>
      <c r="H45" s="65"/>
      <c r="I45" s="65"/>
      <c r="J45" s="65"/>
      <c r="K45" s="65"/>
      <c r="L45" s="65"/>
      <c r="M45" s="65"/>
      <c r="N45" s="67"/>
      <c r="O45" s="69"/>
      <c r="P45" s="70"/>
      <c r="Q45" s="70"/>
      <c r="R45" s="197"/>
    </row>
    <row r="46" spans="2:18" ht="15" x14ac:dyDescent="0.25">
      <c r="B46" s="64"/>
      <c r="C46" s="65"/>
      <c r="D46" s="65"/>
      <c r="E46" s="65"/>
      <c r="F46" s="65"/>
      <c r="G46" s="65"/>
      <c r="H46" s="65"/>
      <c r="I46" s="65"/>
      <c r="J46" s="65"/>
      <c r="K46" s="65"/>
      <c r="L46" s="72"/>
      <c r="M46" s="72"/>
      <c r="N46" s="112" t="str">
        <f>Translation!C109&amp;":"</f>
        <v>Skupaj:</v>
      </c>
      <c r="O46" s="683">
        <f>SUM(O7:P44)</f>
        <v>0</v>
      </c>
      <c r="P46" s="684"/>
      <c r="Q46" s="73" t="str">
        <f>" "&amp;Translation!C10</f>
        <v xml:space="preserve"> €</v>
      </c>
      <c r="R46" s="197"/>
    </row>
    <row r="47" spans="2:18" ht="15" x14ac:dyDescent="0.25">
      <c r="B47" s="74"/>
      <c r="C47" s="75"/>
      <c r="D47" s="75"/>
      <c r="E47" s="75"/>
      <c r="F47" s="75"/>
      <c r="G47" s="75"/>
      <c r="H47" s="75"/>
      <c r="I47" s="75"/>
      <c r="J47" s="75"/>
      <c r="K47" s="75"/>
      <c r="L47" s="75"/>
      <c r="M47" s="75"/>
      <c r="N47" s="75"/>
      <c r="O47" s="75"/>
      <c r="P47" s="75"/>
      <c r="Q47" s="76"/>
    </row>
    <row r="49" spans="2:18" ht="20.100000000000001" customHeight="1" x14ac:dyDescent="0.25">
      <c r="B49" s="31"/>
      <c r="C49" s="32" t="str">
        <f>"5.  "&amp;Translation!C139&amp;" "&amp;Translation!C140</f>
        <v>5.  CENE ENERGIJE (izbirno)</v>
      </c>
      <c r="D49" s="32"/>
      <c r="E49" s="33"/>
      <c r="F49" s="33"/>
      <c r="G49" s="33"/>
      <c r="H49" s="33"/>
      <c r="I49" s="33"/>
      <c r="J49" s="33"/>
      <c r="K49" s="33"/>
      <c r="L49" s="33"/>
      <c r="M49" s="33"/>
      <c r="N49" s="33"/>
      <c r="O49" s="33"/>
      <c r="P49" s="33"/>
      <c r="Q49" s="34"/>
    </row>
    <row r="50" spans="2:18" ht="15" x14ac:dyDescent="0.25">
      <c r="B50" s="35"/>
      <c r="C50" s="36"/>
      <c r="D50" s="36"/>
      <c r="E50" s="36"/>
      <c r="F50" s="36"/>
      <c r="G50" s="36"/>
      <c r="H50" s="36"/>
      <c r="I50" s="407" t="str">
        <f>I54</f>
        <v>predhodni izračun</v>
      </c>
      <c r="J50" s="36"/>
      <c r="K50" s="36"/>
      <c r="L50" s="407" t="str">
        <f>L54</f>
        <v>vstavil uporabnik</v>
      </c>
      <c r="M50" s="36"/>
      <c r="N50" s="412"/>
      <c r="O50" s="412"/>
      <c r="P50" s="412"/>
      <c r="Q50" s="37"/>
    </row>
    <row r="51" spans="2:18" ht="8.1" customHeight="1" x14ac:dyDescent="0.25">
      <c r="B51" s="35"/>
      <c r="C51" s="36"/>
      <c r="D51" s="36"/>
      <c r="E51" s="36"/>
      <c r="F51" s="36"/>
      <c r="G51" s="36"/>
      <c r="H51" s="36"/>
      <c r="I51" s="36"/>
      <c r="J51" s="36"/>
      <c r="K51" s="36"/>
      <c r="L51" s="36"/>
      <c r="M51" s="36"/>
      <c r="N51" s="412"/>
      <c r="O51" s="412"/>
      <c r="P51" s="412"/>
      <c r="Q51" s="37"/>
    </row>
    <row r="52" spans="2:18" ht="15" customHeight="1" x14ac:dyDescent="0.25">
      <c r="B52" s="35"/>
      <c r="C52" s="408" t="str">
        <f>C66</f>
        <v>Električna energija</v>
      </c>
      <c r="D52" s="409"/>
      <c r="E52" s="36"/>
      <c r="F52" s="36"/>
      <c r="G52" s="36"/>
      <c r="H52" s="36"/>
      <c r="I52" s="410">
        <f>IF('2'!O77="",VLOOKUP(C52,Parameters!D5:L19,6,FALSE),'2'!O77)</f>
        <v>0.23</v>
      </c>
      <c r="J52" s="85" t="str">
        <f>IF(Parameters!D2="","",VLOOKUP(C52,Parameters!$D$5:$L$19,7,FALSE))</f>
        <v>€/kWh</v>
      </c>
      <c r="K52" s="36"/>
      <c r="L52" s="411"/>
      <c r="M52" s="85" t="str">
        <f>IF(J52="","",J52)</f>
        <v>€/kWh</v>
      </c>
      <c r="N52" s="412"/>
      <c r="O52" s="412"/>
      <c r="P52" s="412"/>
      <c r="Q52" s="37"/>
      <c r="R52" s="197"/>
    </row>
    <row r="53" spans="2:18" ht="15" customHeight="1" x14ac:dyDescent="0.25">
      <c r="B53" s="35"/>
      <c r="C53" s="408"/>
      <c r="D53" s="409"/>
      <c r="E53" s="36"/>
      <c r="F53" s="36"/>
      <c r="G53" s="36"/>
      <c r="H53" s="36"/>
      <c r="I53" s="36"/>
      <c r="J53" s="85"/>
      <c r="K53" s="36"/>
      <c r="L53" s="36"/>
      <c r="M53" s="36"/>
      <c r="N53" s="412"/>
      <c r="O53" s="412"/>
      <c r="P53" s="413"/>
      <c r="Q53" s="37"/>
      <c r="R53" s="101"/>
    </row>
    <row r="54" spans="2:18" ht="15" x14ac:dyDescent="0.25">
      <c r="B54" s="35"/>
      <c r="C54" s="38" t="str">
        <f>Translation!C143&amp;":"</f>
        <v>Viri energije za ogrevanje:</v>
      </c>
      <c r="D54" s="36"/>
      <c r="E54" s="36"/>
      <c r="F54" s="36"/>
      <c r="G54" s="36"/>
      <c r="H54" s="36"/>
      <c r="I54" s="407" t="str">
        <f>Translation!C141</f>
        <v>predhodni izračun</v>
      </c>
      <c r="J54" s="36"/>
      <c r="K54" s="36"/>
      <c r="L54" s="407" t="str">
        <f>Translation!C142</f>
        <v>vstavil uporabnik</v>
      </c>
      <c r="M54" s="36"/>
      <c r="N54" s="412"/>
      <c r="O54" s="413" t="str">
        <f>Translation!C172</f>
        <v>ekvivalent</v>
      </c>
      <c r="P54" s="412"/>
      <c r="Q54" s="37"/>
    </row>
    <row r="55" spans="2:18" ht="8.1" customHeight="1" x14ac:dyDescent="0.25">
      <c r="B55" s="35"/>
      <c r="C55" s="36"/>
      <c r="D55" s="36"/>
      <c r="E55" s="36"/>
      <c r="F55" s="36"/>
      <c r="G55" s="36"/>
      <c r="H55" s="36"/>
      <c r="I55" s="36"/>
      <c r="J55" s="36"/>
      <c r="K55" s="36"/>
      <c r="L55" s="36"/>
      <c r="M55" s="36"/>
      <c r="N55" s="412"/>
      <c r="O55" s="412"/>
      <c r="P55" s="412"/>
      <c r="Q55" s="37"/>
    </row>
    <row r="56" spans="2:18" ht="15" customHeight="1" x14ac:dyDescent="0.25">
      <c r="B56" s="35"/>
      <c r="C56" s="408" t="str">
        <f>Parameters!D5</f>
        <v>Zemeljski plin</v>
      </c>
      <c r="D56" s="409"/>
      <c r="E56" s="36"/>
      <c r="F56" s="36"/>
      <c r="G56" s="36"/>
      <c r="H56" s="36"/>
      <c r="I56" s="410">
        <f>IF(Parameters!D5="","",VLOOKUP(C56,'2'!$C$124:$M$138,10,FALSE)*VLOOKUP(C56,Parameters!$D$5:$L$19,4,FALSE))</f>
        <v>0.75</v>
      </c>
      <c r="J56" s="85" t="str">
        <f>IF(Parameters!D5="","",VLOOKUP(C56,Parameters!$D$5:$L$19,7,FALSE))</f>
        <v>€/Sm³</v>
      </c>
      <c r="K56" s="36"/>
      <c r="L56" s="411"/>
      <c r="M56" s="85" t="str">
        <f>IF(J56="","",J56)</f>
        <v>€/Sm³</v>
      </c>
      <c r="N56" s="412"/>
      <c r="O56" s="423">
        <f>'2'!N124</f>
        <v>7.7319587628865982E-2</v>
      </c>
      <c r="P56" s="414" t="str">
        <f>'2'!O124</f>
        <v>€/kWh</v>
      </c>
      <c r="Q56" s="37"/>
      <c r="R56" s="197"/>
    </row>
    <row r="57" spans="2:18" ht="15" customHeight="1" x14ac:dyDescent="0.25">
      <c r="B57" s="35"/>
      <c r="C57" s="408" t="str">
        <f>Parameters!D6</f>
        <v>UNP (m³)</v>
      </c>
      <c r="D57" s="409"/>
      <c r="E57" s="36"/>
      <c r="F57" s="36"/>
      <c r="G57" s="36"/>
      <c r="H57" s="36"/>
      <c r="I57" s="410">
        <f>IF(Parameters!D6="","",VLOOKUP(C57,'2'!$C$124:$M$138,10,FALSE)*VLOOKUP(C57,Parameters!$D$5:$L$19,4,FALSE))</f>
        <v>5.87</v>
      </c>
      <c r="J57" s="85" t="str">
        <f>IF(Parameters!D6="","",VLOOKUP(C57,Parameters!$D$5:$L$19,7,FALSE))</f>
        <v>€/m³</v>
      </c>
      <c r="K57" s="36"/>
      <c r="L57" s="411"/>
      <c r="M57" s="85" t="str">
        <f t="shared" ref="M57:M70" si="0">IF(J57="","",J57)</f>
        <v>€/m³</v>
      </c>
      <c r="N57" s="412"/>
      <c r="O57" s="423">
        <f>'2'!N125</f>
        <v>0.24018003273322422</v>
      </c>
      <c r="P57" s="414" t="str">
        <f>P56</f>
        <v>€/kWh</v>
      </c>
      <c r="Q57" s="37"/>
      <c r="R57" s="197"/>
    </row>
    <row r="58" spans="2:18" ht="15" customHeight="1" x14ac:dyDescent="0.25">
      <c r="B58" s="35"/>
      <c r="C58" s="408" t="str">
        <f>Parameters!D7</f>
        <v>UNP (l)</v>
      </c>
      <c r="D58" s="409"/>
      <c r="E58" s="36"/>
      <c r="F58" s="36"/>
      <c r="G58" s="36"/>
      <c r="H58" s="36"/>
      <c r="I58" s="410">
        <f>IF(Parameters!D7="","",VLOOKUP(C58,'2'!$C$124:$M$138,10,FALSE)*VLOOKUP(C58,Parameters!$D$5:$L$19,4,FALSE))</f>
        <v>1.63</v>
      </c>
      <c r="J58" s="85" t="str">
        <f>IF(Parameters!D7="","",VLOOKUP(C58,Parameters!$D$5:$L$19,7,FALSE))</f>
        <v>€/l</v>
      </c>
      <c r="K58" s="36"/>
      <c r="L58" s="411"/>
      <c r="M58" s="85" t="str">
        <f t="shared" si="0"/>
        <v>€/l</v>
      </c>
      <c r="N58" s="412"/>
      <c r="O58" s="423">
        <f>'2'!N126</f>
        <v>0.23970588235294116</v>
      </c>
      <c r="P58" s="414" t="str">
        <f t="shared" ref="P58:P70" si="1">P57</f>
        <v>€/kWh</v>
      </c>
      <c r="Q58" s="37"/>
      <c r="R58" s="197"/>
    </row>
    <row r="59" spans="2:18" ht="15" customHeight="1" x14ac:dyDescent="0.25">
      <c r="B59" s="35"/>
      <c r="C59" s="408" t="str">
        <f>Parameters!D8</f>
        <v>UNP (kg)</v>
      </c>
      <c r="D59" s="409"/>
      <c r="E59" s="36"/>
      <c r="F59" s="36"/>
      <c r="G59" s="36"/>
      <c r="H59" s="36"/>
      <c r="I59" s="410">
        <f>IF(Parameters!D8="","",VLOOKUP(C59,'2'!$C$124:$M$138,10,FALSE)*VLOOKUP(C59,Parameters!$D$5:$L$19,4,FALSE))</f>
        <v>3.1</v>
      </c>
      <c r="J59" s="85" t="str">
        <f>IF(Parameters!D8="","",VLOOKUP(C59,Parameters!$D$5:$L$19,7,FALSE))</f>
        <v>€/kg</v>
      </c>
      <c r="K59" s="36"/>
      <c r="L59" s="411"/>
      <c r="M59" s="85" t="str">
        <f t="shared" si="0"/>
        <v>€/kg</v>
      </c>
      <c r="N59" s="412"/>
      <c r="O59" s="423">
        <f>'2'!N127</f>
        <v>0.24031007751937986</v>
      </c>
      <c r="P59" s="414" t="str">
        <f t="shared" si="1"/>
        <v>€/kWh</v>
      </c>
      <c r="Q59" s="37"/>
      <c r="R59" s="197"/>
    </row>
    <row r="60" spans="2:18" ht="15" customHeight="1" x14ac:dyDescent="0.25">
      <c r="B60" s="35"/>
      <c r="C60" s="408" t="str">
        <f>Parameters!D9</f>
        <v>Dizelsko gorivo (l)</v>
      </c>
      <c r="D60" s="409"/>
      <c r="E60" s="36"/>
      <c r="F60" s="36"/>
      <c r="G60" s="36"/>
      <c r="H60" s="36"/>
      <c r="I60" s="410">
        <f>IF(Parameters!D9="","",VLOOKUP(C60,'2'!$C$124:$M$138,10,FALSE)*VLOOKUP(C60,Parameters!$D$5:$L$19,4,FALSE))</f>
        <v>1.05</v>
      </c>
      <c r="J60" s="85" t="str">
        <f>IF(Parameters!D9="","",VLOOKUP(C60,Parameters!$D$5:$L$19,7,FALSE))</f>
        <v>€/l</v>
      </c>
      <c r="K60" s="36"/>
      <c r="L60" s="411"/>
      <c r="M60" s="85" t="str">
        <f t="shared" si="0"/>
        <v>€/l</v>
      </c>
      <c r="N60" s="412"/>
      <c r="O60" s="423">
        <f>'2'!N128</f>
        <v>0.10437869822485207</v>
      </c>
      <c r="P60" s="414" t="str">
        <f t="shared" si="1"/>
        <v>€/kWh</v>
      </c>
      <c r="Q60" s="37"/>
      <c r="R60" s="197"/>
    </row>
    <row r="61" spans="2:18" ht="15" customHeight="1" x14ac:dyDescent="0.25">
      <c r="B61" s="35"/>
      <c r="C61" s="408" t="str">
        <f>Parameters!D10</f>
        <v>Dizelsko gorivo (kg)</v>
      </c>
      <c r="D61" s="409"/>
      <c r="E61" s="36"/>
      <c r="F61" s="36"/>
      <c r="G61" s="36"/>
      <c r="H61" s="36"/>
      <c r="I61" s="410">
        <f>IF(Parameters!D10="","",VLOOKUP(C61,'2'!$C$124:$M$138,10,FALSE)*VLOOKUP(C61,Parameters!$D$5:$L$19,4,FALSE))</f>
        <v>1.23</v>
      </c>
      <c r="J61" s="85" t="str">
        <f>IF(Parameters!D10="","",VLOOKUP(C61,Parameters!$D$5:$L$19,7,FALSE))</f>
        <v>€/kg</v>
      </c>
      <c r="K61" s="36"/>
      <c r="L61" s="411"/>
      <c r="M61" s="85" t="str">
        <f t="shared" si="0"/>
        <v>€/kg</v>
      </c>
      <c r="N61" s="412"/>
      <c r="O61" s="423">
        <f>'2'!N129</f>
        <v>0.10397295012679628</v>
      </c>
      <c r="P61" s="414" t="str">
        <f t="shared" si="1"/>
        <v>€/kWh</v>
      </c>
      <c r="Q61" s="37"/>
      <c r="R61" s="197"/>
    </row>
    <row r="62" spans="2:18" ht="15" customHeight="1" x14ac:dyDescent="0.25">
      <c r="B62" s="35"/>
      <c r="C62" s="408" t="str">
        <f>Parameters!D11</f>
        <v>Kurilno olje</v>
      </c>
      <c r="D62" s="409"/>
      <c r="E62" s="36"/>
      <c r="F62" s="36"/>
      <c r="G62" s="36"/>
      <c r="H62" s="36"/>
      <c r="I62" s="410">
        <f>IF(Parameters!D11="","",VLOOKUP(C62,'2'!$C$124:$M$138,10,FALSE)*VLOOKUP(C62,Parameters!$D$5:$L$19,4,FALSE))</f>
        <v>1.85</v>
      </c>
      <c r="J62" s="85" t="str">
        <f>IF(Parameters!D11="","",VLOOKUP(C62,Parameters!$D$5:$L$19,7,FALSE))</f>
        <v>€/kg</v>
      </c>
      <c r="K62" s="36"/>
      <c r="L62" s="411"/>
      <c r="M62" s="85" t="str">
        <f t="shared" si="0"/>
        <v>€/kg</v>
      </c>
      <c r="N62" s="412"/>
      <c r="O62" s="423">
        <f>'2'!N130</f>
        <v>0.16129032258064516</v>
      </c>
      <c r="P62" s="414" t="str">
        <f t="shared" si="1"/>
        <v>€/kWh</v>
      </c>
      <c r="Q62" s="37"/>
      <c r="R62" s="197"/>
    </row>
    <row r="63" spans="2:18" ht="15" customHeight="1" x14ac:dyDescent="0.25">
      <c r="B63" s="35"/>
      <c r="C63" s="408" t="str">
        <f>Parameters!D12</f>
        <v>Peleti</v>
      </c>
      <c r="D63" s="409"/>
      <c r="E63" s="36"/>
      <c r="F63" s="36"/>
      <c r="G63" s="36"/>
      <c r="H63" s="36"/>
      <c r="I63" s="410">
        <f>IF(Parameters!D12="","",VLOOKUP(C63,'2'!$C$124:$M$138,10,FALSE)*VLOOKUP(C63,Parameters!$D$5:$L$19,4,FALSE))</f>
        <v>0.32</v>
      </c>
      <c r="J63" s="85" t="str">
        <f>IF(Parameters!D12="","",VLOOKUP(C63,Parameters!$D$5:$L$19,7,FALSE))</f>
        <v>€/kg</v>
      </c>
      <c r="K63" s="36"/>
      <c r="L63" s="411"/>
      <c r="M63" s="85" t="str">
        <f t="shared" si="0"/>
        <v>€/kg</v>
      </c>
      <c r="N63" s="412"/>
      <c r="O63" s="423">
        <f>'2'!N131</f>
        <v>6.4000000000000001E-2</v>
      </c>
      <c r="P63" s="414" t="str">
        <f t="shared" si="1"/>
        <v>€/kWh</v>
      </c>
      <c r="Q63" s="37"/>
      <c r="R63" s="197"/>
    </row>
    <row r="64" spans="2:18" ht="15" customHeight="1" x14ac:dyDescent="0.25">
      <c r="B64" s="35"/>
      <c r="C64" s="408" t="str">
        <f>Parameters!D13</f>
        <v>Polena</v>
      </c>
      <c r="D64" s="409"/>
      <c r="E64" s="36"/>
      <c r="F64" s="36"/>
      <c r="G64" s="36"/>
      <c r="H64" s="36"/>
      <c r="I64" s="410">
        <f>IF(Parameters!D13="","",VLOOKUP(C64,'2'!$C$124:$M$138,10,FALSE)*VLOOKUP(C64,Parameters!$D$5:$L$19,4,FALSE))</f>
        <v>0.19</v>
      </c>
      <c r="J64" s="85" t="str">
        <f>IF(Parameters!D13="","",VLOOKUP(C64,Parameters!$D$5:$L$19,7,FALSE))</f>
        <v>€/kg</v>
      </c>
      <c r="K64" s="36"/>
      <c r="L64" s="411"/>
      <c r="M64" s="85" t="str">
        <f t="shared" si="0"/>
        <v>€/kg</v>
      </c>
      <c r="N64" s="412"/>
      <c r="O64" s="423">
        <f>'2'!N132</f>
        <v>0.05</v>
      </c>
      <c r="P64" s="414" t="str">
        <f t="shared" si="1"/>
        <v>€/kWh</v>
      </c>
      <c r="Q64" s="37"/>
      <c r="R64" s="197"/>
    </row>
    <row r="65" spans="2:18" ht="15" customHeight="1" x14ac:dyDescent="0.25">
      <c r="B65" s="35"/>
      <c r="C65" s="408" t="str">
        <f>Parameters!D14</f>
        <v>Lesni sekanci</v>
      </c>
      <c r="D65" s="409"/>
      <c r="E65" s="36"/>
      <c r="F65" s="36"/>
      <c r="G65" s="36"/>
      <c r="H65" s="36"/>
      <c r="I65" s="410">
        <f>IF(Parameters!D14="","",VLOOKUP(C65,'2'!$C$124:$M$138,10,FALSE)*VLOOKUP(C65,Parameters!$D$5:$L$19,4,FALSE))</f>
        <v>0.12</v>
      </c>
      <c r="J65" s="85" t="str">
        <f>IF(Parameters!D14="","",VLOOKUP(C65,Parameters!$D$5:$L$19,7,FALSE))</f>
        <v>€/kg</v>
      </c>
      <c r="K65" s="36"/>
      <c r="L65" s="411"/>
      <c r="M65" s="85" t="str">
        <f t="shared" si="0"/>
        <v>€/kg</v>
      </c>
      <c r="N65" s="412"/>
      <c r="O65" s="423">
        <f>'2'!N133</f>
        <v>3.5294117647058823E-2</v>
      </c>
      <c r="P65" s="414" t="str">
        <f t="shared" si="1"/>
        <v>€/kWh</v>
      </c>
      <c r="Q65" s="37"/>
      <c r="R65" s="197"/>
    </row>
    <row r="66" spans="2:18" ht="15" customHeight="1" x14ac:dyDescent="0.25">
      <c r="B66" s="35"/>
      <c r="C66" s="408" t="str">
        <f>Parameters!D15</f>
        <v>Električna energija</v>
      </c>
      <c r="D66" s="409"/>
      <c r="E66" s="36"/>
      <c r="F66" s="36"/>
      <c r="G66" s="36"/>
      <c r="H66" s="36"/>
      <c r="I66" s="410">
        <f>IF(Parameters!D15="","",VLOOKUP(C66,'2'!$C$124:$M$138,10,FALSE)*VLOOKUP(C66,Parameters!$D$5:$L$19,4,FALSE))</f>
        <v>0.23</v>
      </c>
      <c r="J66" s="85" t="str">
        <f>IF(Parameters!D15="","",VLOOKUP(C66,Parameters!$D$5:$L$19,7,FALSE))</f>
        <v>€/kWh</v>
      </c>
      <c r="K66" s="36"/>
      <c r="L66" s="411"/>
      <c r="M66" s="85" t="str">
        <f t="shared" si="0"/>
        <v>€/kWh</v>
      </c>
      <c r="N66" s="412"/>
      <c r="O66" s="423">
        <f>'2'!N134</f>
        <v>0.23</v>
      </c>
      <c r="P66" s="414" t="str">
        <f t="shared" si="1"/>
        <v>€/kWh</v>
      </c>
      <c r="Q66" s="37"/>
      <c r="R66" s="197"/>
    </row>
    <row r="67" spans="2:18" ht="15" customHeight="1" x14ac:dyDescent="0.25">
      <c r="B67" s="35"/>
      <c r="C67" s="408" t="str">
        <f>Parameters!D16</f>
        <v>Električna energija (toplotna črpalka)</v>
      </c>
      <c r="D67" s="409"/>
      <c r="E67" s="36"/>
      <c r="F67" s="36"/>
      <c r="G67" s="36"/>
      <c r="H67" s="36"/>
      <c r="I67" s="410">
        <f>IF(Parameters!D16="","",VLOOKUP(C67,'2'!$C$124:$M$138,10,FALSE)*VLOOKUP(C67,Parameters!$D$5:$L$19,4,FALSE))</f>
        <v>0.23</v>
      </c>
      <c r="J67" s="85" t="str">
        <f>IF(Parameters!D16="","",VLOOKUP(C67,Parameters!$D$5:$L$19,7,FALSE))</f>
        <v>€/kWh</v>
      </c>
      <c r="K67" s="36"/>
      <c r="L67" s="411"/>
      <c r="M67" s="85" t="str">
        <f t="shared" si="0"/>
        <v>€/kWh</v>
      </c>
      <c r="N67" s="412"/>
      <c r="O67" s="423">
        <f>'2'!N135</f>
        <v>0.23</v>
      </c>
      <c r="P67" s="414" t="str">
        <f t="shared" si="1"/>
        <v>€/kWh</v>
      </c>
      <c r="Q67" s="37"/>
      <c r="R67" s="197"/>
    </row>
    <row r="68" spans="2:18" ht="15" customHeight="1" x14ac:dyDescent="0.25">
      <c r="B68" s="35"/>
      <c r="C68" s="408" t="str">
        <f>Translation!$C$102&amp;IF(Parameters!D17="","",": "&amp;Parameters!D17)</f>
        <v>Drugo</v>
      </c>
      <c r="D68" s="409"/>
      <c r="E68" s="36"/>
      <c r="F68" s="36"/>
      <c r="G68" s="36"/>
      <c r="H68" s="36"/>
      <c r="I68" s="410" t="str">
        <f>IF(Parameters!D17="","",VLOOKUP(C68,'2'!$C$124:$M$138,10,FALSE)*VLOOKUP(C68,Parameters!$D$5:$L$19,4,FALSE))</f>
        <v/>
      </c>
      <c r="J68" s="85" t="str">
        <f>IF(Parameters!D17="","",VLOOKUP(C68,Parameters!$D$5:$L$19,7,FALSE))</f>
        <v/>
      </c>
      <c r="K68" s="36"/>
      <c r="L68" s="411"/>
      <c r="M68" s="85" t="str">
        <f t="shared" si="0"/>
        <v/>
      </c>
      <c r="N68" s="412"/>
      <c r="O68" s="423">
        <f>'2'!N136</f>
        <v>0</v>
      </c>
      <c r="P68" s="414" t="str">
        <f t="shared" si="1"/>
        <v>€/kWh</v>
      </c>
      <c r="Q68" s="37"/>
      <c r="R68" s="197"/>
    </row>
    <row r="69" spans="2:18" ht="15" customHeight="1" x14ac:dyDescent="0.25">
      <c r="B69" s="35"/>
      <c r="C69" s="408" t="str">
        <f>Translation!$C$102&amp;IF(Parameters!D18="","",": "&amp;Parameters!D18)</f>
        <v>Drugo</v>
      </c>
      <c r="D69" s="409"/>
      <c r="E69" s="36"/>
      <c r="F69" s="36"/>
      <c r="G69" s="36"/>
      <c r="H69" s="36"/>
      <c r="I69" s="410" t="str">
        <f>IF(Parameters!D18="","",VLOOKUP(C69,'2'!$C$124:$M$138,10,FALSE)*VLOOKUP(C69,Parameters!$D$5:$L$19,4,FALSE))</f>
        <v/>
      </c>
      <c r="J69" s="85" t="str">
        <f>IF(Parameters!D18="","",VLOOKUP(C69,Parameters!$D$5:$L$19,7,FALSE))</f>
        <v/>
      </c>
      <c r="K69" s="36"/>
      <c r="L69" s="411"/>
      <c r="M69" s="85" t="str">
        <f t="shared" si="0"/>
        <v/>
      </c>
      <c r="N69" s="412"/>
      <c r="O69" s="423">
        <f>'2'!N137</f>
        <v>0</v>
      </c>
      <c r="P69" s="414" t="str">
        <f t="shared" si="1"/>
        <v>€/kWh</v>
      </c>
      <c r="Q69" s="37"/>
      <c r="R69" s="197"/>
    </row>
    <row r="70" spans="2:18" ht="15" customHeight="1" x14ac:dyDescent="0.25">
      <c r="B70" s="35"/>
      <c r="C70" s="408" t="str">
        <f>Translation!$C$102&amp;IF(Parameters!D19="","",": "&amp;Parameters!D19)</f>
        <v>Drugo</v>
      </c>
      <c r="D70" s="409"/>
      <c r="E70" s="36"/>
      <c r="F70" s="36"/>
      <c r="G70" s="36"/>
      <c r="H70" s="36"/>
      <c r="I70" s="410" t="str">
        <f>IF(Parameters!D19="","",VLOOKUP(C70,'2'!$C$124:$M$138,10,FALSE)*VLOOKUP(C70,Parameters!$D$5:$L$19,4,FALSE))</f>
        <v/>
      </c>
      <c r="J70" s="85" t="str">
        <f>IF(Parameters!D19="","",VLOOKUP(C70,Parameters!$D$5:$L$19,7,FALSE))</f>
        <v/>
      </c>
      <c r="K70" s="36"/>
      <c r="L70" s="411"/>
      <c r="M70" s="85" t="str">
        <f t="shared" si="0"/>
        <v/>
      </c>
      <c r="N70" s="412"/>
      <c r="O70" s="423">
        <f>'2'!N138</f>
        <v>0</v>
      </c>
      <c r="P70" s="414" t="str">
        <f t="shared" si="1"/>
        <v>€/kWh</v>
      </c>
      <c r="Q70" s="37"/>
      <c r="R70" s="197"/>
    </row>
    <row r="71" spans="2:18" ht="15" x14ac:dyDescent="0.25">
      <c r="B71" s="40"/>
      <c r="C71" s="41"/>
      <c r="D71" s="41"/>
      <c r="E71" s="41"/>
      <c r="F71" s="41"/>
      <c r="G71" s="41"/>
      <c r="H71" s="41"/>
      <c r="I71" s="41"/>
      <c r="J71" s="41"/>
      <c r="K71" s="41"/>
      <c r="L71" s="41"/>
      <c r="M71" s="41"/>
      <c r="N71" s="41"/>
      <c r="O71" s="41"/>
      <c r="P71" s="41"/>
      <c r="Q71" s="42"/>
    </row>
    <row r="74" spans="2:18" s="106" customFormat="1" ht="20.100000000000001" hidden="1" customHeight="1" thickBot="1" x14ac:dyDescent="0.3"/>
    <row r="75" spans="2:18" ht="20.100000000000001" hidden="1" customHeight="1" thickTop="1" x14ac:dyDescent="0.25"/>
    <row r="76" spans="2:18" ht="15" hidden="1" x14ac:dyDescent="0.25">
      <c r="B76" s="502" t="str">
        <f>C7&amp;D7</f>
        <v>1.Izolacija fasade (ETICS)</v>
      </c>
      <c r="C76" s="503"/>
      <c r="D76" s="504"/>
      <c r="E76" s="505">
        <v>1</v>
      </c>
    </row>
    <row r="77" spans="2:18" ht="15" hidden="1" x14ac:dyDescent="0.25">
      <c r="B77" s="506">
        <v>1</v>
      </c>
      <c r="C77" s="93" t="str">
        <f>Translation!C94</f>
        <v xml:space="preserve">
Posegi na celotnem ovoju stavbe</v>
      </c>
      <c r="D77" s="507"/>
      <c r="E77" s="504"/>
      <c r="F77" s="92">
        <f>B77</f>
        <v>1</v>
      </c>
    </row>
    <row r="78" spans="2:18" ht="15" hidden="1" x14ac:dyDescent="0.25">
      <c r="B78" s="508">
        <v>2</v>
      </c>
      <c r="C78" s="93" t="str">
        <f>Translation!C95</f>
        <v xml:space="preserve">
Posegi na delu sten</v>
      </c>
      <c r="D78" s="503"/>
      <c r="E78" s="504"/>
      <c r="F78" s="92">
        <f t="shared" ref="F78" si="2">B78</f>
        <v>2</v>
      </c>
    </row>
    <row r="79" spans="2:18" ht="15" hidden="1" x14ac:dyDescent="0.25"/>
    <row r="80" spans="2:18" ht="15" hidden="1" x14ac:dyDescent="0.25">
      <c r="B80" s="502" t="str">
        <f>C9&amp;D9</f>
        <v>2.Notranja izolacija zunanjih sten</v>
      </c>
      <c r="C80" s="503"/>
      <c r="D80" s="504"/>
      <c r="E80" s="505">
        <v>1</v>
      </c>
    </row>
    <row r="81" spans="2:6" ht="15" hidden="1" x14ac:dyDescent="0.25">
      <c r="B81" s="506">
        <v>1</v>
      </c>
      <c r="C81" s="93" t="str">
        <f>Translation!C94</f>
        <v xml:space="preserve">
Posegi na celotnem ovoju stavbe</v>
      </c>
      <c r="D81" s="507"/>
      <c r="E81" s="504"/>
      <c r="F81" s="92">
        <f>B81</f>
        <v>1</v>
      </c>
    </row>
    <row r="82" spans="2:6" ht="15" hidden="1" x14ac:dyDescent="0.25">
      <c r="B82" s="508">
        <v>2</v>
      </c>
      <c r="C82" s="93" t="str">
        <f>Translation!C95</f>
        <v xml:space="preserve">
Posegi na delu sten</v>
      </c>
      <c r="D82" s="503"/>
      <c r="E82" s="504"/>
      <c r="F82" s="92">
        <f t="shared" ref="F82" si="3">B82</f>
        <v>2</v>
      </c>
    </row>
    <row r="83" spans="2:6" ht="15" hidden="1" x14ac:dyDescent="0.25"/>
    <row r="84" spans="2:6" ht="15" hidden="1" x14ac:dyDescent="0.25">
      <c r="B84" s="502" t="str">
        <f>C11&amp;D11</f>
        <v>3.Izolacija strehe</v>
      </c>
      <c r="C84" s="503"/>
      <c r="D84" s="504"/>
      <c r="E84" s="505">
        <v>1</v>
      </c>
    </row>
    <row r="85" spans="2:6" ht="15" hidden="1" x14ac:dyDescent="0.25">
      <c r="B85" s="506">
        <v>1</v>
      </c>
      <c r="C85" s="93" t="str">
        <f>Translation!C98</f>
        <v>Posegi na celotni strehi</v>
      </c>
      <c r="D85" s="507"/>
      <c r="E85" s="504"/>
      <c r="F85" s="92">
        <f>B85</f>
        <v>1</v>
      </c>
    </row>
    <row r="86" spans="2:6" ht="15" hidden="1" x14ac:dyDescent="0.25">
      <c r="B86" s="508">
        <v>2</v>
      </c>
      <c r="C86" s="93" t="str">
        <f>Translation!C99</f>
        <v>Posegi na delu strehe</v>
      </c>
      <c r="D86" s="503"/>
      <c r="E86" s="504"/>
      <c r="F86" s="92">
        <f t="shared" ref="F86" si="4">B86</f>
        <v>2</v>
      </c>
    </row>
    <row r="87" spans="2:6" ht="15" hidden="1" x14ac:dyDescent="0.25"/>
    <row r="88" spans="2:6" ht="15" hidden="1" x14ac:dyDescent="0.25">
      <c r="B88" s="502" t="str">
        <f>C13&amp;D13</f>
        <v>4.Izolacija podstrešja</v>
      </c>
      <c r="C88" s="503"/>
      <c r="D88" s="504"/>
      <c r="E88" s="505">
        <v>1</v>
      </c>
    </row>
    <row r="89" spans="2:6" ht="15" hidden="1" x14ac:dyDescent="0.25">
      <c r="B89" s="506">
        <v>1</v>
      </c>
      <c r="C89" s="93" t="str">
        <f>Translation!C98</f>
        <v>Posegi na celotni strehi</v>
      </c>
      <c r="D89" s="507"/>
      <c r="E89" s="504"/>
      <c r="F89" s="92">
        <f>B89</f>
        <v>1</v>
      </c>
    </row>
    <row r="90" spans="2:6" ht="15" hidden="1" x14ac:dyDescent="0.25">
      <c r="B90" s="508">
        <v>2</v>
      </c>
      <c r="C90" s="93" t="str">
        <f>Translation!C99</f>
        <v>Posegi na delu strehe</v>
      </c>
      <c r="D90" s="503"/>
      <c r="E90" s="504"/>
      <c r="F90" s="92">
        <f t="shared" ref="F90" si="5">B90</f>
        <v>2</v>
      </c>
    </row>
    <row r="91" spans="2:6" ht="15" hidden="1" x14ac:dyDescent="0.25"/>
    <row r="92" spans="2:6" ht="15" hidden="1" x14ac:dyDescent="0.25">
      <c r="B92" s="502" t="str">
        <f>C15&amp;D15</f>
        <v>5.Izolacija kletne etaže</v>
      </c>
      <c r="C92" s="503"/>
      <c r="D92" s="504"/>
      <c r="E92" s="505">
        <v>1</v>
      </c>
    </row>
    <row r="93" spans="2:6" ht="15" hidden="1" x14ac:dyDescent="0.25">
      <c r="B93" s="506">
        <v>1</v>
      </c>
      <c r="C93" s="93" t="str">
        <f>Translation!C100</f>
        <v>Posegi na celotnih tleh</v>
      </c>
      <c r="D93" s="507"/>
      <c r="E93" s="504"/>
      <c r="F93" s="92">
        <f>B93</f>
        <v>1</v>
      </c>
    </row>
    <row r="94" spans="2:6" ht="15" hidden="1" x14ac:dyDescent="0.25">
      <c r="B94" s="508">
        <v>2</v>
      </c>
      <c r="C94" s="93" t="str">
        <f>Translation!C101</f>
        <v>Posegi na delu tal</v>
      </c>
      <c r="D94" s="503"/>
      <c r="E94" s="504"/>
      <c r="F94" s="92">
        <f t="shared" ref="F94" si="6">B94</f>
        <v>2</v>
      </c>
    </row>
    <row r="95" spans="2:6" ht="15" hidden="1" x14ac:dyDescent="0.25"/>
    <row r="96" spans="2:6" ht="15" hidden="1" x14ac:dyDescent="0.25">
      <c r="B96" s="502" t="str">
        <f>C17&amp;D17</f>
        <v>6.Zamenjava oken</v>
      </c>
      <c r="C96" s="503"/>
      <c r="D96" s="504"/>
      <c r="E96" s="505">
        <v>1</v>
      </c>
    </row>
    <row r="97" spans="2:8" ht="15" hidden="1" x14ac:dyDescent="0.25">
      <c r="B97" s="506">
        <v>1</v>
      </c>
      <c r="C97" s="93" t="str">
        <f>Translation!C96</f>
        <v xml:space="preserve">
Posegi na vseh oknih</v>
      </c>
      <c r="D97" s="507"/>
      <c r="E97" s="504"/>
      <c r="F97" s="92">
        <f>B97</f>
        <v>1</v>
      </c>
    </row>
    <row r="98" spans="2:8" ht="15" hidden="1" x14ac:dyDescent="0.25">
      <c r="B98" s="508">
        <v>2</v>
      </c>
      <c r="C98" s="93" t="str">
        <f>Translation!C97</f>
        <v xml:space="preserve">
Posegi na delu oken</v>
      </c>
      <c r="D98" s="503"/>
      <c r="E98" s="504"/>
      <c r="F98" s="92">
        <f t="shared" ref="F98" si="7">B98</f>
        <v>2</v>
      </c>
    </row>
    <row r="99" spans="2:8" ht="15" hidden="1" x14ac:dyDescent="0.25"/>
    <row r="100" spans="2:8" ht="15" hidden="1" x14ac:dyDescent="0.25">
      <c r="B100" s="502" t="str">
        <f>C19&amp;D19</f>
        <v>7.Zamenjava ogrevalnega kotla</v>
      </c>
      <c r="C100" s="503"/>
      <c r="D100" s="504"/>
      <c r="E100" s="505">
        <v>1</v>
      </c>
    </row>
    <row r="101" spans="2:8" ht="15" hidden="1" x14ac:dyDescent="0.25">
      <c r="B101" s="506">
        <v>1</v>
      </c>
      <c r="C101" s="93" t="str">
        <f>Translation!C81</f>
        <v>Isti energent</v>
      </c>
      <c r="D101" s="507"/>
      <c r="E101" s="504"/>
      <c r="F101" s="92">
        <f>B101</f>
        <v>1</v>
      </c>
      <c r="G101" s="109" t="str">
        <f>VLOOKUP('2'!E123,'2'!B124:C138,2,FALSE)</f>
        <v>Zemeljski plin</v>
      </c>
      <c r="H101" s="109" t="str">
        <f>VLOOKUP('2'!E151,'2'!B152:C166,2,FALSE)</f>
        <v>Zemeljski plin</v>
      </c>
    </row>
    <row r="102" spans="2:8" ht="15" hidden="1" x14ac:dyDescent="0.25">
      <c r="B102" s="506">
        <v>2</v>
      </c>
      <c r="C102" s="93" t="str">
        <f>Translation!C82</f>
        <v>Zamenjava s kotlom na zemeljski plin</v>
      </c>
      <c r="D102" s="507"/>
      <c r="E102" s="504"/>
      <c r="F102" s="92">
        <f t="shared" ref="F102:F106" si="8">B102</f>
        <v>2</v>
      </c>
      <c r="G102" s="109" t="str">
        <f>Parameters!D5</f>
        <v>Zemeljski plin</v>
      </c>
      <c r="H102" s="109" t="str">
        <f>G102</f>
        <v>Zemeljski plin</v>
      </c>
    </row>
    <row r="103" spans="2:8" ht="15" hidden="1" x14ac:dyDescent="0.25">
      <c r="B103" s="506">
        <v>3</v>
      </c>
      <c r="C103" s="93" t="str">
        <f>Translation!C83</f>
        <v>Zamenjava s kotlom na pelete</v>
      </c>
      <c r="D103" s="507"/>
      <c r="E103" s="504"/>
      <c r="F103" s="92">
        <f t="shared" si="8"/>
        <v>3</v>
      </c>
      <c r="G103" s="109" t="str">
        <f>Parameters!D12</f>
        <v>Peleti</v>
      </c>
      <c r="H103" s="109" t="str">
        <f t="shared" ref="H103:H106" si="9">G103</f>
        <v>Peleti</v>
      </c>
    </row>
    <row r="104" spans="2:8" ht="15" hidden="1" x14ac:dyDescent="0.25">
      <c r="B104" s="506">
        <v>4</v>
      </c>
      <c r="C104" s="93" t="str">
        <f>Translation!C84</f>
        <v xml:space="preserve">
Zamenjava s kotlom na polena</v>
      </c>
      <c r="D104" s="503"/>
      <c r="E104" s="504"/>
      <c r="F104" s="92">
        <f t="shared" si="8"/>
        <v>4</v>
      </c>
      <c r="G104" s="109" t="str">
        <f>Parameters!D13</f>
        <v>Polena</v>
      </c>
      <c r="H104" s="109" t="str">
        <f t="shared" si="9"/>
        <v>Polena</v>
      </c>
    </row>
    <row r="105" spans="2:8" ht="15" hidden="1" x14ac:dyDescent="0.25">
      <c r="B105" s="506">
        <v>5</v>
      </c>
      <c r="C105" s="93" t="str">
        <f>Translation!C85</f>
        <v xml:space="preserve">
Zamenjava s kotlom na lesne sekance</v>
      </c>
      <c r="D105" s="503"/>
      <c r="E105" s="504"/>
      <c r="F105" s="92">
        <f t="shared" ref="F105" si="10">B105</f>
        <v>5</v>
      </c>
      <c r="G105" s="109" t="str">
        <f>Parameters!D14</f>
        <v>Lesni sekanci</v>
      </c>
      <c r="H105" s="109" t="str">
        <f t="shared" si="9"/>
        <v>Lesni sekanci</v>
      </c>
    </row>
    <row r="106" spans="2:8" ht="15" hidden="1" x14ac:dyDescent="0.25">
      <c r="B106" s="506">
        <v>6</v>
      </c>
      <c r="C106" s="93" t="str">
        <f>Translation!C86</f>
        <v>Toplotna črpalka</v>
      </c>
      <c r="D106" s="503"/>
      <c r="E106" s="504"/>
      <c r="F106" s="92">
        <f t="shared" si="8"/>
        <v>6</v>
      </c>
      <c r="G106" s="109" t="str">
        <f>Parameters!D16</f>
        <v>Električna energija (toplotna črpalka)</v>
      </c>
      <c r="H106" s="109" t="str">
        <f t="shared" si="9"/>
        <v>Električna energija (toplotna črpalka)</v>
      </c>
    </row>
    <row r="107" spans="2:8" ht="15" hidden="1" x14ac:dyDescent="0.25"/>
    <row r="108" spans="2:8" ht="15" hidden="1" x14ac:dyDescent="0.25"/>
    <row r="109" spans="2:8" ht="15" x14ac:dyDescent="0.25"/>
    <row r="110" spans="2:8" ht="15" x14ac:dyDescent="0.25"/>
    <row r="111" spans="2:8" ht="15" x14ac:dyDescent="0.25"/>
    <row r="112" spans="2:8"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sheetData>
  <sheetProtection password="CFF9" sheet="1" objects="1" scenarios="1" selectLockedCells="1"/>
  <mergeCells count="25">
    <mergeCell ref="J2:O2"/>
    <mergeCell ref="P2:Q2"/>
    <mergeCell ref="O7:P7"/>
    <mergeCell ref="O9:P9"/>
    <mergeCell ref="O5:P5"/>
    <mergeCell ref="O23:P23"/>
    <mergeCell ref="O35:P35"/>
    <mergeCell ref="O11:P11"/>
    <mergeCell ref="O15:P15"/>
    <mergeCell ref="O21:P21"/>
    <mergeCell ref="O17:P17"/>
    <mergeCell ref="O19:P19"/>
    <mergeCell ref="O13:P13"/>
    <mergeCell ref="G35:M35"/>
    <mergeCell ref="G37:M37"/>
    <mergeCell ref="O25:P25"/>
    <mergeCell ref="O44:P44"/>
    <mergeCell ref="O46:P46"/>
    <mergeCell ref="O42:P42"/>
    <mergeCell ref="O40:P40"/>
    <mergeCell ref="O37:P37"/>
    <mergeCell ref="O27:P27"/>
    <mergeCell ref="O29:P29"/>
    <mergeCell ref="O31:P31"/>
    <mergeCell ref="O33:P33"/>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O41:P41 P40 O43:P43 P42 P44 O56:O70 B77:E79 B101:E106 B100:D100 B97:E99 B96:D96 B93:E95 B92:D92 B89:E91 B88:D88 B85:E87 B84:D84 B81:E83 B80:D80 B76:D7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9</xdr:col>
                    <xdr:colOff>28575</xdr:colOff>
                    <xdr:row>5</xdr:row>
                    <xdr:rowOff>66675</xdr:rowOff>
                  </from>
                  <to>
                    <xdr:col>13</xdr:col>
                    <xdr:colOff>333375</xdr:colOff>
                    <xdr:row>7</xdr:row>
                    <xdr:rowOff>28575</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9</xdr:col>
                    <xdr:colOff>28575</xdr:colOff>
                    <xdr:row>7</xdr:row>
                    <xdr:rowOff>161925</xdr:rowOff>
                  </from>
                  <to>
                    <xdr:col>13</xdr:col>
                    <xdr:colOff>333375</xdr:colOff>
                    <xdr:row>9</xdr:row>
                    <xdr:rowOff>28575</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9</xdr:col>
                    <xdr:colOff>28575</xdr:colOff>
                    <xdr:row>9</xdr:row>
                    <xdr:rowOff>161925</xdr:rowOff>
                  </from>
                  <to>
                    <xdr:col>13</xdr:col>
                    <xdr:colOff>333375</xdr:colOff>
                    <xdr:row>11</xdr:row>
                    <xdr:rowOff>28575</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9</xdr:col>
                    <xdr:colOff>28575</xdr:colOff>
                    <xdr:row>11</xdr:row>
                    <xdr:rowOff>161925</xdr:rowOff>
                  </from>
                  <to>
                    <xdr:col>13</xdr:col>
                    <xdr:colOff>333375</xdr:colOff>
                    <xdr:row>13</xdr:row>
                    <xdr:rowOff>28575</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9</xdr:col>
                    <xdr:colOff>28575</xdr:colOff>
                    <xdr:row>13</xdr:row>
                    <xdr:rowOff>161925</xdr:rowOff>
                  </from>
                  <to>
                    <xdr:col>13</xdr:col>
                    <xdr:colOff>333375</xdr:colOff>
                    <xdr:row>15</xdr:row>
                    <xdr:rowOff>28575</xdr:rowOff>
                  </to>
                </anchor>
              </controlPr>
            </control>
          </mc:Choice>
        </mc:AlternateContent>
        <mc:AlternateContent xmlns:mc="http://schemas.openxmlformats.org/markup-compatibility/2006">
          <mc:Choice Requires="x14">
            <control shapeId="7174" r:id="rId9" name="Drop Down 6">
              <controlPr defaultSize="0" autoLine="0" autoPict="0">
                <anchor moveWithCells="1">
                  <from>
                    <xdr:col>9</xdr:col>
                    <xdr:colOff>28575</xdr:colOff>
                    <xdr:row>15</xdr:row>
                    <xdr:rowOff>161925</xdr:rowOff>
                  </from>
                  <to>
                    <xdr:col>13</xdr:col>
                    <xdr:colOff>333375</xdr:colOff>
                    <xdr:row>17</xdr:row>
                    <xdr:rowOff>28575</xdr:rowOff>
                  </to>
                </anchor>
              </controlPr>
            </control>
          </mc:Choice>
        </mc:AlternateContent>
        <mc:AlternateContent xmlns:mc="http://schemas.openxmlformats.org/markup-compatibility/2006">
          <mc:Choice Requires="x14">
            <control shapeId="7175" r:id="rId10" name="Drop Down 7">
              <controlPr defaultSize="0" autoLine="0" autoPict="0">
                <anchor moveWithCells="1">
                  <from>
                    <xdr:col>9</xdr:col>
                    <xdr:colOff>28575</xdr:colOff>
                    <xdr:row>17</xdr:row>
                    <xdr:rowOff>161925</xdr:rowOff>
                  </from>
                  <to>
                    <xdr:col>13</xdr:col>
                    <xdr:colOff>333375</xdr:colOff>
                    <xdr:row>19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tabColor rgb="FF00B050"/>
  </sheetPr>
  <dimension ref="B2:AB99"/>
  <sheetViews>
    <sheetView workbookViewId="0">
      <selection activeCell="O20" sqref="O20"/>
    </sheetView>
  </sheetViews>
  <sheetFormatPr defaultRowHeight="20.100000000000001" customHeight="1" x14ac:dyDescent="0.25"/>
  <cols>
    <col min="1" max="1" width="2.7109375" style="9" customWidth="1"/>
    <col min="2" max="2" width="3.42578125" style="9" customWidth="1"/>
    <col min="3" max="3" width="3" style="9" customWidth="1"/>
    <col min="4" max="5" width="9.140625" style="9" customWidth="1"/>
    <col min="6" max="8" width="9.140625" style="9"/>
    <col min="9" max="9" width="9.140625" style="9" customWidth="1"/>
    <col min="10" max="11" width="9.140625" style="9"/>
    <col min="12" max="12" width="9.140625" style="9" customWidth="1"/>
    <col min="13" max="16" width="9.140625" style="9"/>
    <col min="17" max="17" width="3.42578125" style="9" customWidth="1"/>
    <col min="18" max="18" width="2.7109375" style="9" customWidth="1"/>
    <col min="19" max="20" width="10.140625" style="9" customWidth="1"/>
    <col min="21" max="16384" width="9.140625" style="9"/>
  </cols>
  <sheetData>
    <row r="2" spans="2:28" ht="60.75" customHeight="1" x14ac:dyDescent="0.25">
      <c r="H2" s="94"/>
      <c r="I2" s="94"/>
      <c r="J2" s="673" t="str">
        <f>'2'!J2:O2</f>
        <v>Subsidy
Evaluation
Tool</v>
      </c>
      <c r="K2" s="674"/>
      <c r="L2" s="674"/>
      <c r="M2" s="674"/>
      <c r="N2" s="674"/>
      <c r="O2" s="674"/>
      <c r="P2" s="672" t="str">
        <f>'2'!P2:Q2</f>
        <v>SET</v>
      </c>
      <c r="Q2" s="672"/>
    </row>
    <row r="4" spans="2:28" ht="20.100000000000001" customHeight="1" x14ac:dyDescent="0.25">
      <c r="B4" s="31"/>
      <c r="C4" s="32" t="str">
        <f>"6.  "&amp;Translation!C110&amp;":"</f>
        <v>6.  IZRAČUN PRIHRANKOV - IZBERI MOŽNOST:</v>
      </c>
      <c r="D4" s="32"/>
      <c r="E4" s="33"/>
      <c r="F4" s="33"/>
      <c r="G4" s="33"/>
      <c r="H4" s="33"/>
      <c r="I4" s="33"/>
      <c r="J4" s="33"/>
      <c r="K4" s="33"/>
      <c r="L4" s="33"/>
      <c r="M4" s="33"/>
      <c r="N4" s="33"/>
      <c r="O4" s="33"/>
      <c r="P4" s="33"/>
      <c r="Q4" s="34"/>
      <c r="S4" s="54"/>
    </row>
    <row r="5" spans="2:28" ht="15.75" x14ac:dyDescent="0.25">
      <c r="B5" s="35"/>
      <c r="C5" s="120"/>
      <c r="D5" s="120"/>
      <c r="E5" s="36"/>
      <c r="F5" s="36"/>
      <c r="G5" s="36"/>
      <c r="H5" s="36"/>
      <c r="I5" s="36"/>
      <c r="J5" s="36"/>
      <c r="K5" s="36"/>
      <c r="L5" s="36"/>
      <c r="M5" s="36"/>
      <c r="N5" s="36"/>
      <c r="O5" s="36"/>
      <c r="P5" s="36"/>
      <c r="Q5" s="37"/>
      <c r="S5" s="54"/>
    </row>
    <row r="6" spans="2:28" ht="15.75" x14ac:dyDescent="0.25">
      <c r="B6" s="35"/>
      <c r="C6" s="120"/>
      <c r="D6" s="120"/>
      <c r="E6" s="36"/>
      <c r="F6" s="36"/>
      <c r="G6" s="36"/>
      <c r="H6" s="36"/>
      <c r="I6" s="36"/>
      <c r="J6" s="36"/>
      <c r="K6" s="36"/>
      <c r="L6" s="36"/>
      <c r="M6" s="36"/>
      <c r="N6" s="36"/>
      <c r="O6" s="36"/>
      <c r="P6" s="36"/>
      <c r="Q6" s="37"/>
      <c r="S6" s="54"/>
    </row>
    <row r="7" spans="2:28" ht="15" x14ac:dyDescent="0.25">
      <c r="B7" s="35"/>
      <c r="C7" s="36"/>
      <c r="D7" s="36"/>
      <c r="E7" s="36"/>
      <c r="F7" s="36"/>
      <c r="G7" s="36"/>
      <c r="H7" s="36"/>
      <c r="I7" s="36"/>
      <c r="J7" s="36"/>
      <c r="K7" s="36"/>
      <c r="L7" s="36"/>
      <c r="M7" s="36"/>
      <c r="N7" s="36"/>
      <c r="O7" s="36"/>
      <c r="P7" s="36"/>
      <c r="Q7" s="37"/>
    </row>
    <row r="8" spans="2:28" ht="15" customHeight="1" x14ac:dyDescent="0.25">
      <c r="B8" s="35"/>
      <c r="C8" s="204" t="str">
        <f>IF(E73=C74,"x","")</f>
        <v>x</v>
      </c>
      <c r="D8" s="84" t="str">
        <f>Translation!C111&amp;":"</f>
        <v>Možnost A:</v>
      </c>
      <c r="E8" s="36"/>
      <c r="F8" s="36" t="str">
        <f>Translation!C113</f>
        <v>poenostavljena ocena prihrankov glede na posamezne ukrepe za varčevanje z energijo</v>
      </c>
      <c r="G8" s="36"/>
      <c r="H8" s="36"/>
      <c r="I8" s="36"/>
      <c r="J8" s="36"/>
      <c r="K8" s="39"/>
      <c r="L8" s="36"/>
      <c r="M8" s="36"/>
      <c r="N8" s="36"/>
      <c r="O8" s="36"/>
      <c r="P8" s="36"/>
      <c r="Q8" s="37"/>
      <c r="S8" s="668"/>
      <c r="T8" s="668"/>
      <c r="U8" s="668"/>
      <c r="V8" s="668"/>
      <c r="W8" s="668"/>
      <c r="X8" s="668"/>
      <c r="Y8" s="668"/>
      <c r="Z8" s="668"/>
      <c r="AA8" s="668"/>
      <c r="AB8" s="53"/>
    </row>
    <row r="9" spans="2:28" ht="15" x14ac:dyDescent="0.25">
      <c r="B9" s="35"/>
      <c r="C9" s="206"/>
      <c r="D9" s="85"/>
      <c r="E9" s="36"/>
      <c r="F9" s="686" t="str">
        <f>"("&amp;Translation!C114&amp;")"</f>
        <v>(ustrezen način za predhodno oceno splošnega potenciala, če ni podrobnega energetskega pregleda)</v>
      </c>
      <c r="G9" s="686"/>
      <c r="H9" s="686"/>
      <c r="I9" s="686"/>
      <c r="J9" s="686"/>
      <c r="K9" s="686"/>
      <c r="L9" s="686"/>
      <c r="M9" s="686"/>
      <c r="N9" s="686"/>
      <c r="O9" s="686"/>
      <c r="P9" s="686"/>
      <c r="Q9" s="37"/>
      <c r="S9" s="668"/>
      <c r="T9" s="668"/>
      <c r="U9" s="668"/>
      <c r="V9" s="668"/>
      <c r="W9" s="668"/>
      <c r="X9" s="668"/>
      <c r="Y9" s="668"/>
      <c r="Z9" s="668"/>
      <c r="AA9" s="668"/>
      <c r="AB9" s="53"/>
    </row>
    <row r="10" spans="2:28" ht="15" x14ac:dyDescent="0.25">
      <c r="B10" s="35"/>
      <c r="C10" s="206"/>
      <c r="D10" s="85"/>
      <c r="E10" s="36"/>
      <c r="F10" s="686"/>
      <c r="G10" s="686"/>
      <c r="H10" s="686"/>
      <c r="I10" s="686"/>
      <c r="J10" s="686"/>
      <c r="K10" s="686"/>
      <c r="L10" s="686"/>
      <c r="M10" s="686"/>
      <c r="N10" s="686"/>
      <c r="O10" s="686"/>
      <c r="P10" s="686"/>
      <c r="Q10" s="37"/>
      <c r="S10" s="668"/>
      <c r="T10" s="668"/>
      <c r="U10" s="668"/>
      <c r="V10" s="668"/>
      <c r="W10" s="668"/>
      <c r="X10" s="668"/>
      <c r="Y10" s="668"/>
      <c r="Z10" s="668"/>
      <c r="AA10" s="668"/>
      <c r="AB10" s="53"/>
    </row>
    <row r="11" spans="2:28" ht="8.1" customHeight="1" x14ac:dyDescent="0.25">
      <c r="B11" s="35"/>
      <c r="C11" s="206"/>
      <c r="D11" s="85"/>
      <c r="E11" s="36"/>
      <c r="F11" s="36"/>
      <c r="G11" s="36"/>
      <c r="H11" s="36"/>
      <c r="I11" s="36"/>
      <c r="J11" s="36"/>
      <c r="K11" s="36"/>
      <c r="L11" s="36"/>
      <c r="M11" s="36"/>
      <c r="N11" s="36"/>
      <c r="O11" s="36"/>
      <c r="P11" s="36"/>
      <c r="Q11" s="37"/>
      <c r="S11" s="668"/>
      <c r="T11" s="668"/>
      <c r="U11" s="668"/>
      <c r="V11" s="668"/>
      <c r="W11" s="668"/>
      <c r="X11" s="668"/>
      <c r="Y11" s="668"/>
      <c r="Z11" s="668"/>
      <c r="AA11" s="668"/>
    </row>
    <row r="12" spans="2:28" ht="15" customHeight="1" x14ac:dyDescent="0.25">
      <c r="B12" s="35"/>
      <c r="C12" s="204" t="str">
        <f>IF(E73=C75,"x","")</f>
        <v/>
      </c>
      <c r="D12" s="84" t="str">
        <f>Translation!C112&amp;":"</f>
        <v>Možnost B:</v>
      </c>
      <c r="E12" s="36"/>
      <c r="F12" s="36" t="str">
        <f>Translation!C115</f>
        <v>uporabniku prilagojen in uravnotežen izračun prihrankov</v>
      </c>
      <c r="G12" s="36"/>
      <c r="H12" s="36"/>
      <c r="I12" s="36"/>
      <c r="J12" s="36"/>
      <c r="K12" s="39"/>
      <c r="L12" s="36"/>
      <c r="M12" s="36"/>
      <c r="N12" s="36"/>
      <c r="O12" s="36"/>
      <c r="P12" s="36"/>
      <c r="Q12" s="37"/>
      <c r="S12" s="668"/>
      <c r="T12" s="668"/>
      <c r="U12" s="668"/>
      <c r="V12" s="668"/>
      <c r="W12" s="668"/>
      <c r="X12" s="668"/>
      <c r="Y12" s="668"/>
      <c r="Z12" s="668"/>
      <c r="AA12" s="668"/>
    </row>
    <row r="13" spans="2:28" ht="15" x14ac:dyDescent="0.25">
      <c r="B13" s="35"/>
      <c r="C13" s="36"/>
      <c r="D13" s="36"/>
      <c r="E13" s="36"/>
      <c r="F13" s="686" t="str">
        <f>"("&amp;Translation!C116&amp;")"</f>
        <v>(podatki o prihrankih pridobljeni z razširjenim energetskim pregledom ali Investor Confidence Project (ICP) ali ekvivalentnim protoklom  -&gt; proces varčevanja, ki vodi v certifikat IREE ali podobno)</v>
      </c>
      <c r="G13" s="686"/>
      <c r="H13" s="686"/>
      <c r="I13" s="686"/>
      <c r="J13" s="686"/>
      <c r="K13" s="686"/>
      <c r="L13" s="686"/>
      <c r="M13" s="686"/>
      <c r="N13" s="686"/>
      <c r="O13" s="686"/>
      <c r="P13" s="686"/>
      <c r="Q13" s="37"/>
      <c r="S13" s="668"/>
      <c r="T13" s="668"/>
      <c r="U13" s="668"/>
      <c r="V13" s="668"/>
      <c r="W13" s="668"/>
      <c r="X13" s="668"/>
      <c r="Y13" s="668"/>
      <c r="Z13" s="668"/>
      <c r="AA13" s="668"/>
    </row>
    <row r="14" spans="2:28" ht="15" x14ac:dyDescent="0.25">
      <c r="B14" s="35"/>
      <c r="C14" s="36"/>
      <c r="D14" s="36"/>
      <c r="E14" s="36"/>
      <c r="F14" s="686"/>
      <c r="G14" s="686"/>
      <c r="H14" s="686"/>
      <c r="I14" s="686"/>
      <c r="J14" s="686"/>
      <c r="K14" s="686"/>
      <c r="L14" s="686"/>
      <c r="M14" s="686"/>
      <c r="N14" s="686"/>
      <c r="O14" s="686"/>
      <c r="P14" s="686"/>
      <c r="Q14" s="37"/>
      <c r="S14" s="668"/>
      <c r="T14" s="668"/>
      <c r="U14" s="668"/>
      <c r="V14" s="668"/>
      <c r="W14" s="668"/>
      <c r="X14" s="668"/>
      <c r="Y14" s="668"/>
      <c r="Z14" s="668"/>
      <c r="AA14" s="668"/>
    </row>
    <row r="15" spans="2:28" ht="15" x14ac:dyDescent="0.25">
      <c r="B15" s="40"/>
      <c r="C15" s="41"/>
      <c r="D15" s="41"/>
      <c r="E15" s="41"/>
      <c r="F15" s="41"/>
      <c r="G15" s="41"/>
      <c r="H15" s="41"/>
      <c r="I15" s="41"/>
      <c r="J15" s="41"/>
      <c r="K15" s="41"/>
      <c r="L15" s="41"/>
      <c r="M15" s="41"/>
      <c r="N15" s="41"/>
      <c r="O15" s="41"/>
      <c r="P15" s="41"/>
      <c r="Q15" s="42"/>
      <c r="S15" s="668"/>
      <c r="T15" s="668"/>
      <c r="U15" s="668"/>
      <c r="V15" s="668"/>
      <c r="W15" s="668"/>
      <c r="X15" s="668"/>
      <c r="Y15" s="668"/>
      <c r="Z15" s="668"/>
      <c r="AA15" s="668"/>
    </row>
    <row r="17" spans="2:17" ht="20.100000000000001" customHeight="1" x14ac:dyDescent="0.25">
      <c r="B17" s="43"/>
      <c r="C17" s="44" t="str">
        <f>"6.A  "&amp;Translation!C117</f>
        <v>6.A  MOŽNOST A</v>
      </c>
      <c r="D17" s="44"/>
      <c r="E17" s="107"/>
      <c r="F17" s="59" t="str">
        <f>"("&amp;F8&amp;")"</f>
        <v>(poenostavljena ocena prihrankov glede na posamezne ukrepe za varčevanje z energijo)</v>
      </c>
      <c r="G17" s="45"/>
      <c r="H17" s="45"/>
      <c r="I17" s="45"/>
      <c r="J17" s="45"/>
      <c r="K17" s="45"/>
      <c r="L17" s="45"/>
      <c r="M17" s="45"/>
      <c r="N17" s="45"/>
      <c r="O17" s="45"/>
      <c r="P17" s="45"/>
      <c r="Q17" s="46"/>
    </row>
    <row r="18" spans="2:17" ht="15" customHeight="1" x14ac:dyDescent="0.25">
      <c r="B18" s="47"/>
      <c r="C18" s="58"/>
      <c r="D18" s="48"/>
      <c r="E18" s="48"/>
      <c r="F18" s="48"/>
      <c r="G18" s="48"/>
      <c r="H18" s="48"/>
      <c r="I18" s="48"/>
      <c r="J18" s="48"/>
      <c r="K18" s="48"/>
      <c r="L18" s="48"/>
      <c r="M18" s="48"/>
      <c r="N18" s="48"/>
      <c r="O18" s="48"/>
      <c r="P18" s="48"/>
      <c r="Q18" s="49"/>
    </row>
    <row r="19" spans="2:17" ht="8.1" customHeight="1" x14ac:dyDescent="0.25">
      <c r="B19" s="47"/>
      <c r="C19" s="48"/>
      <c r="D19" s="48"/>
      <c r="E19" s="48"/>
      <c r="F19" s="48"/>
      <c r="G19" s="48"/>
      <c r="H19" s="48"/>
      <c r="I19" s="48"/>
      <c r="J19" s="48"/>
      <c r="K19" s="48"/>
      <c r="L19" s="48"/>
      <c r="M19" s="48"/>
      <c r="N19" s="48"/>
      <c r="O19" s="48"/>
      <c r="P19" s="48"/>
      <c r="Q19" s="49"/>
    </row>
    <row r="20" spans="2:17" ht="15" customHeight="1" x14ac:dyDescent="0.25">
      <c r="B20" s="47"/>
      <c r="C20" s="416" t="str">
        <f>IF('3'!O7="","","x")</f>
        <v/>
      </c>
      <c r="D20" s="89" t="str">
        <f>'3'!D7</f>
        <v>Izolacija fasade (ETICS)</v>
      </c>
      <c r="E20" s="90"/>
      <c r="F20" s="90"/>
      <c r="G20" s="90"/>
      <c r="H20" s="90"/>
      <c r="I20" s="154"/>
      <c r="J20" s="154"/>
      <c r="K20" s="90"/>
      <c r="L20" s="48"/>
      <c r="M20" s="48"/>
      <c r="N20" s="57" t="str">
        <f>Translation!C120&amp;":"</f>
        <v>površina vgradnje:</v>
      </c>
      <c r="O20" s="514"/>
      <c r="P20" s="115" t="str">
        <f>" "&amp;Translation!C7</f>
        <v xml:space="preserve"> m²</v>
      </c>
      <c r="Q20" s="103"/>
    </row>
    <row r="21" spans="2:17" ht="8.1" customHeight="1" x14ac:dyDescent="0.25">
      <c r="B21" s="47"/>
      <c r="C21" s="203"/>
      <c r="D21" s="90"/>
      <c r="E21" s="90"/>
      <c r="F21" s="90"/>
      <c r="G21" s="90"/>
      <c r="H21" s="90"/>
      <c r="I21" s="154"/>
      <c r="J21" s="154"/>
      <c r="K21" s="90"/>
      <c r="L21" s="48"/>
      <c r="M21" s="48"/>
      <c r="N21" s="48"/>
      <c r="O21" s="48"/>
      <c r="P21" s="48"/>
      <c r="Q21" s="49"/>
    </row>
    <row r="22" spans="2:17" ht="15" customHeight="1" x14ac:dyDescent="0.25">
      <c r="B22" s="47"/>
      <c r="C22" s="417" t="str">
        <f>IF('3'!O9="","","x")</f>
        <v/>
      </c>
      <c r="D22" s="89" t="str">
        <f>'3'!D9</f>
        <v>Notranja izolacija zunanjih sten</v>
      </c>
      <c r="E22" s="90"/>
      <c r="F22" s="90"/>
      <c r="G22" s="90"/>
      <c r="H22" s="90"/>
      <c r="I22" s="154"/>
      <c r="J22" s="154"/>
      <c r="K22" s="90"/>
      <c r="L22" s="48"/>
      <c r="M22" s="48"/>
      <c r="N22" s="57" t="str">
        <f>N20</f>
        <v>površina vgradnje:</v>
      </c>
      <c r="O22" s="514"/>
      <c r="P22" s="115" t="str">
        <f>" "&amp;Translation!C7</f>
        <v xml:space="preserve"> m²</v>
      </c>
      <c r="Q22" s="103"/>
    </row>
    <row r="23" spans="2:17" ht="8.1" customHeight="1" x14ac:dyDescent="0.25">
      <c r="B23" s="47"/>
      <c r="C23" s="203"/>
      <c r="D23" s="90"/>
      <c r="E23" s="90"/>
      <c r="F23" s="90"/>
      <c r="G23" s="90"/>
      <c r="H23" s="90"/>
      <c r="I23" s="154"/>
      <c r="J23" s="154"/>
      <c r="K23" s="90"/>
      <c r="L23" s="48"/>
      <c r="M23" s="48"/>
      <c r="N23" s="48"/>
      <c r="O23" s="48"/>
      <c r="P23" s="48"/>
      <c r="Q23" s="49"/>
    </row>
    <row r="24" spans="2:17" ht="15" customHeight="1" x14ac:dyDescent="0.25">
      <c r="B24" s="47"/>
      <c r="C24" s="417" t="str">
        <f>IF('3'!O11="","","x")</f>
        <v/>
      </c>
      <c r="D24" s="89" t="str">
        <f>'3'!D11</f>
        <v>Izolacija strehe</v>
      </c>
      <c r="E24" s="90"/>
      <c r="F24" s="90"/>
      <c r="G24" s="90"/>
      <c r="H24" s="90"/>
      <c r="I24" s="154"/>
      <c r="J24" s="154"/>
      <c r="K24" s="90"/>
      <c r="L24" s="48"/>
      <c r="M24" s="48"/>
      <c r="N24" s="57" t="str">
        <f>N20</f>
        <v>površina vgradnje:</v>
      </c>
      <c r="O24" s="514"/>
      <c r="P24" s="115" t="str">
        <f>" "&amp;Translation!C7</f>
        <v xml:space="preserve"> m²</v>
      </c>
      <c r="Q24" s="103"/>
    </row>
    <row r="25" spans="2:17" ht="8.1" customHeight="1" x14ac:dyDescent="0.25">
      <c r="B25" s="47"/>
      <c r="C25" s="203"/>
      <c r="D25" s="90"/>
      <c r="E25" s="90"/>
      <c r="F25" s="90"/>
      <c r="G25" s="90"/>
      <c r="H25" s="90"/>
      <c r="I25" s="154"/>
      <c r="J25" s="154"/>
      <c r="K25" s="90"/>
      <c r="L25" s="48"/>
      <c r="M25" s="48"/>
      <c r="N25" s="48"/>
      <c r="O25" s="48"/>
      <c r="P25" s="48"/>
      <c r="Q25" s="49"/>
    </row>
    <row r="26" spans="2:17" ht="15" customHeight="1" x14ac:dyDescent="0.25">
      <c r="B26" s="47"/>
      <c r="C26" s="417" t="str">
        <f>IF('3'!O13="","","x")</f>
        <v/>
      </c>
      <c r="D26" s="136" t="str">
        <f>'3'!D13</f>
        <v>Izolacija podstrešja</v>
      </c>
      <c r="E26" s="137"/>
      <c r="F26" s="137"/>
      <c r="G26" s="137"/>
      <c r="H26" s="137"/>
      <c r="I26" s="154"/>
      <c r="J26" s="154"/>
      <c r="K26" s="137"/>
      <c r="L26" s="48"/>
      <c r="M26" s="48"/>
      <c r="N26" s="57" t="str">
        <f>N22</f>
        <v>površina vgradnje:</v>
      </c>
      <c r="O26" s="514"/>
      <c r="P26" s="115" t="str">
        <f>" "&amp;Translation!C7</f>
        <v xml:space="preserve"> m²</v>
      </c>
      <c r="Q26" s="103"/>
    </row>
    <row r="27" spans="2:17" ht="8.1" customHeight="1" x14ac:dyDescent="0.25">
      <c r="B27" s="47"/>
      <c r="C27" s="203"/>
      <c r="D27" s="137"/>
      <c r="E27" s="137"/>
      <c r="F27" s="137"/>
      <c r="G27" s="137"/>
      <c r="H27" s="137"/>
      <c r="I27" s="154"/>
      <c r="J27" s="154"/>
      <c r="K27" s="137"/>
      <c r="L27" s="48"/>
      <c r="M27" s="48"/>
      <c r="N27" s="48"/>
      <c r="O27" s="48"/>
      <c r="P27" s="48"/>
      <c r="Q27" s="49"/>
    </row>
    <row r="28" spans="2:17" ht="15" customHeight="1" x14ac:dyDescent="0.25">
      <c r="B28" s="47"/>
      <c r="C28" s="417" t="str">
        <f>IF('3'!O15="","","x")</f>
        <v/>
      </c>
      <c r="D28" s="89" t="str">
        <f>'3'!D15</f>
        <v>Izolacija kletne etaže</v>
      </c>
      <c r="E28" s="90"/>
      <c r="F28" s="90"/>
      <c r="G28" s="90"/>
      <c r="H28" s="90"/>
      <c r="I28" s="154"/>
      <c r="J28" s="154"/>
      <c r="K28" s="90"/>
      <c r="L28" s="48"/>
      <c r="M28" s="48"/>
      <c r="N28" s="57" t="str">
        <f>N20</f>
        <v>površina vgradnje:</v>
      </c>
      <c r="O28" s="514"/>
      <c r="P28" s="115" t="str">
        <f>" "&amp;Translation!C7</f>
        <v xml:space="preserve"> m²</v>
      </c>
      <c r="Q28" s="103"/>
    </row>
    <row r="29" spans="2:17" ht="8.1" customHeight="1" x14ac:dyDescent="0.25">
      <c r="B29" s="47"/>
      <c r="C29" s="203"/>
      <c r="D29" s="90"/>
      <c r="E29" s="90"/>
      <c r="F29" s="90"/>
      <c r="G29" s="90"/>
      <c r="H29" s="90"/>
      <c r="I29" s="154"/>
      <c r="J29" s="154"/>
      <c r="K29" s="90"/>
      <c r="L29" s="48"/>
      <c r="M29" s="48"/>
      <c r="N29" s="48"/>
      <c r="O29" s="48"/>
      <c r="P29" s="48"/>
      <c r="Q29" s="49"/>
    </row>
    <row r="30" spans="2:17" ht="15" customHeight="1" x14ac:dyDescent="0.25">
      <c r="B30" s="47"/>
      <c r="C30" s="417" t="str">
        <f>IF('3'!O17="","","x")</f>
        <v/>
      </c>
      <c r="D30" s="89" t="str">
        <f>'3'!D17</f>
        <v>Zamenjava oken</v>
      </c>
      <c r="E30" s="90"/>
      <c r="F30" s="90"/>
      <c r="G30" s="90"/>
      <c r="H30" s="90"/>
      <c r="I30" s="154"/>
      <c r="J30" s="154"/>
      <c r="K30" s="90"/>
      <c r="L30" s="48"/>
      <c r="M30" s="48"/>
      <c r="N30" s="57" t="str">
        <f>N20</f>
        <v>površina vgradnje:</v>
      </c>
      <c r="O30" s="514"/>
      <c r="P30" s="115" t="str">
        <f>" "&amp;Translation!C7</f>
        <v xml:space="preserve"> m²</v>
      </c>
      <c r="Q30" s="103"/>
    </row>
    <row r="31" spans="2:17" ht="8.1" customHeight="1" x14ac:dyDescent="0.25">
      <c r="B31" s="47"/>
      <c r="C31" s="203"/>
      <c r="D31" s="90"/>
      <c r="E31" s="90"/>
      <c r="F31" s="90"/>
      <c r="G31" s="90"/>
      <c r="H31" s="90"/>
      <c r="I31" s="154"/>
      <c r="J31" s="154"/>
      <c r="K31" s="90"/>
      <c r="L31" s="48"/>
      <c r="M31" s="48"/>
      <c r="N31" s="48"/>
      <c r="O31" s="48"/>
      <c r="P31" s="48"/>
      <c r="Q31" s="49"/>
    </row>
    <row r="32" spans="2:17" ht="15" customHeight="1" x14ac:dyDescent="0.25">
      <c r="B32" s="47"/>
      <c r="C32" s="417" t="str">
        <f>IF('3'!O19="","","x")</f>
        <v/>
      </c>
      <c r="D32" s="113" t="str">
        <f>'3'!D19</f>
        <v>Zamenjava ogrevalnega kotla</v>
      </c>
      <c r="E32" s="114"/>
      <c r="F32" s="114"/>
      <c r="G32" s="114"/>
      <c r="H32" s="114"/>
      <c r="I32" s="114"/>
      <c r="J32" s="114"/>
      <c r="K32" s="320"/>
      <c r="L32" s="48"/>
      <c r="M32" s="48"/>
      <c r="N32" s="48"/>
      <c r="O32" s="48"/>
      <c r="P32" s="48"/>
      <c r="Q32" s="103"/>
    </row>
    <row r="33" spans="2:19" ht="8.1" customHeight="1" x14ac:dyDescent="0.25">
      <c r="B33" s="47"/>
      <c r="C33" s="203"/>
      <c r="D33" s="90"/>
      <c r="E33" s="90"/>
      <c r="F33" s="90"/>
      <c r="G33" s="90"/>
      <c r="H33" s="90"/>
      <c r="I33" s="154"/>
      <c r="J33" s="154"/>
      <c r="K33" s="320"/>
      <c r="L33" s="48"/>
      <c r="M33" s="48"/>
      <c r="N33" s="48"/>
      <c r="O33" s="48"/>
      <c r="P33" s="48"/>
      <c r="Q33" s="49"/>
    </row>
    <row r="34" spans="2:19" ht="15" customHeight="1" x14ac:dyDescent="0.25">
      <c r="B34" s="47"/>
      <c r="C34" s="417" t="str">
        <f>IF('3'!O21="","","x")</f>
        <v/>
      </c>
      <c r="D34" s="113" t="str">
        <f>'3'!D21</f>
        <v>Namestitev termostatskih ventilov</v>
      </c>
      <c r="E34" s="114"/>
      <c r="F34" s="114"/>
      <c r="G34" s="114"/>
      <c r="H34" s="114"/>
      <c r="I34" s="114"/>
      <c r="J34" s="114"/>
      <c r="K34" s="320"/>
      <c r="L34" s="48"/>
      <c r="M34" s="48"/>
      <c r="N34" s="48"/>
      <c r="O34" s="48"/>
      <c r="P34" s="48"/>
      <c r="Q34" s="103"/>
    </row>
    <row r="35" spans="2:19" ht="8.1" customHeight="1" x14ac:dyDescent="0.25">
      <c r="B35" s="47"/>
      <c r="C35" s="203"/>
      <c r="D35" s="90"/>
      <c r="E35" s="90"/>
      <c r="F35" s="90"/>
      <c r="G35" s="90"/>
      <c r="H35" s="90"/>
      <c r="I35" s="90"/>
      <c r="J35" s="154"/>
      <c r="K35" s="320"/>
      <c r="L35" s="48"/>
      <c r="M35" s="48"/>
      <c r="N35" s="48"/>
      <c r="O35" s="48"/>
      <c r="P35" s="48"/>
      <c r="Q35" s="49"/>
    </row>
    <row r="36" spans="2:19" ht="15" customHeight="1" x14ac:dyDescent="0.25">
      <c r="B36" s="47"/>
      <c r="C36" s="417" t="str">
        <f>IF('3'!O23="","","x")</f>
        <v/>
      </c>
      <c r="D36" s="114" t="str">
        <f>'3'!D23</f>
        <v>Izboljšanje energetske učinkovitosti ogrevalnega sistema (regulacija, izolacija ravzovdov, distribucija)</v>
      </c>
      <c r="E36" s="336"/>
      <c r="F36" s="336"/>
      <c r="G36" s="336"/>
      <c r="H36" s="336"/>
      <c r="I36" s="336"/>
      <c r="J36" s="336"/>
      <c r="K36" s="320"/>
      <c r="L36" s="48"/>
      <c r="M36" s="48"/>
      <c r="N36" s="48"/>
      <c r="O36" s="48"/>
      <c r="P36" s="48"/>
      <c r="Q36" s="103"/>
    </row>
    <row r="37" spans="2:19" ht="8.1" customHeight="1" x14ac:dyDescent="0.25">
      <c r="B37" s="47"/>
      <c r="C37" s="203"/>
      <c r="D37" s="90"/>
      <c r="E37" s="90"/>
      <c r="F37" s="90"/>
      <c r="G37" s="90"/>
      <c r="H37" s="90"/>
      <c r="I37" s="90"/>
      <c r="J37" s="154"/>
      <c r="K37" s="154"/>
      <c r="L37" s="48"/>
      <c r="M37" s="48"/>
      <c r="N37" s="48"/>
      <c r="O37" s="48"/>
      <c r="P37" s="48"/>
      <c r="Q37" s="49"/>
    </row>
    <row r="38" spans="2:19" ht="15" customHeight="1" x14ac:dyDescent="0.25">
      <c r="B38" s="47"/>
      <c r="C38" s="417" t="str">
        <f>IF('3'!O25="","","x")</f>
        <v/>
      </c>
      <c r="D38" s="89" t="str">
        <f>'3'!D25</f>
        <v>Sistem za rekuperacijo toplotne energije na obstoječih prezračevalnih sistemih</v>
      </c>
      <c r="E38" s="90"/>
      <c r="F38" s="90"/>
      <c r="G38" s="90"/>
      <c r="H38" s="90"/>
      <c r="I38" s="90"/>
      <c r="J38" s="154"/>
      <c r="K38" s="154"/>
      <c r="L38" s="48"/>
      <c r="M38" s="48"/>
      <c r="N38" s="48"/>
      <c r="O38" s="48"/>
      <c r="P38" s="48"/>
      <c r="Q38" s="103"/>
    </row>
    <row r="39" spans="2:19" ht="8.1" customHeight="1" x14ac:dyDescent="0.25">
      <c r="B39" s="47"/>
      <c r="C39" s="203"/>
      <c r="D39" s="90"/>
      <c r="E39" s="90"/>
      <c r="F39" s="90"/>
      <c r="G39" s="90"/>
      <c r="H39" s="90"/>
      <c r="I39" s="90"/>
      <c r="J39" s="154"/>
      <c r="K39" s="154"/>
      <c r="L39" s="48"/>
      <c r="M39" s="48"/>
      <c r="N39" s="48"/>
      <c r="O39" s="48"/>
      <c r="P39" s="48"/>
      <c r="Q39" s="49"/>
    </row>
    <row r="40" spans="2:19" ht="15" x14ac:dyDescent="0.25">
      <c r="B40" s="47"/>
      <c r="C40" s="417" t="str">
        <f>IF('3'!O27="","","x")</f>
        <v/>
      </c>
      <c r="D40" s="89" t="str">
        <f>'3'!D27</f>
        <v>Zamenjava svetil</v>
      </c>
      <c r="E40" s="90"/>
      <c r="F40" s="90"/>
      <c r="G40" s="90"/>
      <c r="H40" s="154"/>
      <c r="I40" s="154"/>
      <c r="J40" s="90"/>
      <c r="K40" s="313"/>
      <c r="L40" s="48"/>
      <c r="M40" s="48"/>
      <c r="N40" s="57" t="str">
        <f>Translation!C122&amp;":"</f>
        <v>del stavbe, kjer se izvaja ukrep:</v>
      </c>
      <c r="O40" s="497"/>
      <c r="P40" s="115" t="s">
        <v>521</v>
      </c>
      <c r="Q40" s="103"/>
    </row>
    <row r="41" spans="2:19" ht="8.1" customHeight="1" x14ac:dyDescent="0.25">
      <c r="B41" s="47"/>
      <c r="C41" s="203"/>
      <c r="D41" s="154"/>
      <c r="E41" s="154"/>
      <c r="F41" s="154"/>
      <c r="G41" s="154"/>
      <c r="H41" s="154"/>
      <c r="I41" s="154"/>
      <c r="J41" s="154"/>
      <c r="K41" s="154"/>
      <c r="L41" s="48"/>
      <c r="M41" s="48"/>
      <c r="N41" s="48"/>
      <c r="O41" s="48"/>
      <c r="P41" s="48"/>
      <c r="Q41" s="49"/>
    </row>
    <row r="42" spans="2:19" ht="15" customHeight="1" x14ac:dyDescent="0.25">
      <c r="B42" s="47"/>
      <c r="C42" s="417" t="str">
        <f>IF('3'!O29="","","x")</f>
        <v/>
      </c>
      <c r="D42" s="114" t="str">
        <f>Translation!C91</f>
        <v>Izboljšanje energetske učinkovitosti sistema razsvetljave</v>
      </c>
      <c r="E42" s="336"/>
      <c r="F42" s="336"/>
      <c r="G42" s="336"/>
      <c r="H42" s="336"/>
      <c r="I42" s="336"/>
      <c r="J42" s="336"/>
      <c r="K42" s="155"/>
      <c r="L42" s="48"/>
      <c r="M42" s="48"/>
      <c r="N42" s="57" t="str">
        <f>N40</f>
        <v>del stavbe, kjer se izvaja ukrep:</v>
      </c>
      <c r="O42" s="497"/>
      <c r="P42" s="115" t="str">
        <f>P40</f>
        <v xml:space="preserve"> %</v>
      </c>
      <c r="Q42" s="103"/>
      <c r="S42" s="86"/>
    </row>
    <row r="43" spans="2:19" ht="15" x14ac:dyDescent="0.25">
      <c r="B43" s="47"/>
      <c r="C43" s="205"/>
      <c r="D43" s="114" t="str">
        <f>"("&amp;Translation!C92&amp;")"</f>
        <v>(senzorji gibanja, senzorji osvetljenosti itd.)</v>
      </c>
      <c r="E43" s="336"/>
      <c r="F43" s="336"/>
      <c r="G43" s="336"/>
      <c r="H43" s="336"/>
      <c r="I43" s="336"/>
      <c r="J43" s="336"/>
      <c r="K43" s="155"/>
      <c r="L43" s="48"/>
      <c r="M43" s="48"/>
      <c r="N43" s="48"/>
      <c r="O43" s="48"/>
      <c r="P43" s="48"/>
      <c r="Q43" s="49"/>
    </row>
    <row r="44" spans="2:19" ht="8.1" customHeight="1" x14ac:dyDescent="0.25">
      <c r="B44" s="47"/>
      <c r="C44" s="203"/>
      <c r="D44" s="90"/>
      <c r="E44" s="90"/>
      <c r="F44" s="90"/>
      <c r="G44" s="90"/>
      <c r="H44" s="90"/>
      <c r="I44" s="90"/>
      <c r="J44" s="154"/>
      <c r="K44" s="154"/>
      <c r="L44" s="48"/>
      <c r="M44" s="48"/>
      <c r="N44" s="48"/>
      <c r="O44" s="48"/>
      <c r="P44" s="48"/>
      <c r="Q44" s="49"/>
    </row>
    <row r="45" spans="2:19" ht="15" customHeight="1" x14ac:dyDescent="0.25">
      <c r="B45" s="47"/>
      <c r="C45" s="417" t="str">
        <f>IF('3'!O31="","","x")</f>
        <v/>
      </c>
      <c r="D45" s="113" t="str">
        <f>'3'!D31</f>
        <v>Fotovoltaična elektrarna (za pokrivanje potreb po ogrevanju)</v>
      </c>
      <c r="E45" s="114"/>
      <c r="F45" s="114"/>
      <c r="G45" s="114"/>
      <c r="H45" s="114"/>
      <c r="I45" s="114"/>
      <c r="J45" s="114"/>
      <c r="K45" s="114"/>
      <c r="L45" s="48"/>
      <c r="M45" s="48"/>
      <c r="N45" s="57" t="str">
        <f>Translation!C125&amp;":"</f>
        <v>vgrajena moč:</v>
      </c>
      <c r="O45" s="497"/>
      <c r="P45" s="115" t="str">
        <f>" "&amp;Translation!C19</f>
        <v xml:space="preserve"> kWp</v>
      </c>
      <c r="Q45" s="103"/>
      <c r="S45" s="86"/>
    </row>
    <row r="46" spans="2:19" ht="8.1" customHeight="1" x14ac:dyDescent="0.25">
      <c r="B46" s="47"/>
      <c r="C46" s="203"/>
      <c r="D46" s="154"/>
      <c r="E46" s="56"/>
      <c r="F46" s="56"/>
      <c r="G46" s="56"/>
      <c r="H46" s="56"/>
      <c r="I46" s="88"/>
      <c r="J46" s="155"/>
      <c r="K46" s="155"/>
      <c r="L46" s="48"/>
      <c r="M46" s="48"/>
      <c r="N46" s="48"/>
      <c r="O46" s="48"/>
      <c r="P46" s="48"/>
      <c r="Q46" s="49"/>
    </row>
    <row r="47" spans="2:19" ht="15" customHeight="1" x14ac:dyDescent="0.25">
      <c r="B47" s="47"/>
      <c r="C47" s="417" t="str">
        <f>IF('3'!O33="","","x")</f>
        <v/>
      </c>
      <c r="D47" s="113" t="str">
        <f>'3'!D33</f>
        <v>Fotovoltaična elektrarna (
kritje porabe električne energije)</v>
      </c>
      <c r="E47" s="155"/>
      <c r="F47" s="114"/>
      <c r="G47" s="114"/>
      <c r="H47" s="114"/>
      <c r="I47" s="114"/>
      <c r="J47" s="114"/>
      <c r="K47" s="114"/>
      <c r="L47" s="48"/>
      <c r="M47" s="48"/>
      <c r="N47" s="57" t="str">
        <f>N45</f>
        <v>vgrajena moč:</v>
      </c>
      <c r="O47" s="497"/>
      <c r="P47" s="115" t="str">
        <f>P45</f>
        <v xml:space="preserve"> kWp</v>
      </c>
      <c r="Q47" s="103"/>
      <c r="S47" s="86"/>
    </row>
    <row r="48" spans="2:19" ht="8.1" customHeight="1" x14ac:dyDescent="0.25">
      <c r="B48" s="47"/>
      <c r="C48" s="48"/>
      <c r="D48" s="155"/>
      <c r="E48" s="155"/>
      <c r="F48" s="155"/>
      <c r="G48" s="155"/>
      <c r="H48" s="155"/>
      <c r="I48" s="155"/>
      <c r="J48" s="155"/>
      <c r="K48" s="155"/>
      <c r="L48" s="48"/>
      <c r="M48" s="48"/>
      <c r="N48" s="48"/>
      <c r="O48" s="48"/>
      <c r="P48" s="48"/>
      <c r="Q48" s="49"/>
    </row>
    <row r="49" spans="2:17" ht="15" x14ac:dyDescent="0.25">
      <c r="B49" s="47"/>
      <c r="C49" s="417" t="str">
        <f>IF('3'!O35="","","x")</f>
        <v/>
      </c>
      <c r="D49" s="689" t="str">
        <f>IF('3'!E35="",Translation!C102,'3'!E35)</f>
        <v>Drugo</v>
      </c>
      <c r="E49" s="690"/>
      <c r="F49" s="690"/>
      <c r="G49" s="690"/>
      <c r="H49" s="690"/>
      <c r="I49" s="90"/>
      <c r="J49" s="48"/>
      <c r="K49" s="48"/>
      <c r="L49" s="48"/>
      <c r="M49" s="48"/>
      <c r="N49" s="57" t="str">
        <f>Translation!C128&amp;":"</f>
        <v xml:space="preserve">
dodatni prihranki pri rabi toplotne energije:</v>
      </c>
      <c r="O49" s="337"/>
      <c r="P49" s="116" t="s">
        <v>521</v>
      </c>
      <c r="Q49" s="103"/>
    </row>
    <row r="50" spans="2:17" ht="8.1" customHeight="1" x14ac:dyDescent="0.25">
      <c r="B50" s="47"/>
      <c r="C50" s="48"/>
      <c r="D50" s="55"/>
      <c r="E50" s="55"/>
      <c r="F50" s="55"/>
      <c r="G50" s="55"/>
      <c r="H50" s="55"/>
      <c r="I50" s="90"/>
      <c r="J50" s="48"/>
      <c r="K50" s="48"/>
      <c r="L50" s="48"/>
      <c r="M50" s="48"/>
      <c r="N50" s="48"/>
      <c r="O50" s="48"/>
      <c r="P50" s="48"/>
      <c r="Q50" s="49"/>
    </row>
    <row r="51" spans="2:17" ht="15" x14ac:dyDescent="0.25">
      <c r="B51" s="47"/>
      <c r="C51" s="417" t="str">
        <f>IF('3'!O37="","","x")</f>
        <v/>
      </c>
      <c r="D51" s="689" t="str">
        <f>IF('3'!E37="",Translation!C102,'3'!E37)</f>
        <v>Drugo</v>
      </c>
      <c r="E51" s="690"/>
      <c r="F51" s="690"/>
      <c r="G51" s="690"/>
      <c r="H51" s="690"/>
      <c r="I51" s="90"/>
      <c r="J51" s="48"/>
      <c r="K51" s="48"/>
      <c r="L51" s="48"/>
      <c r="M51" s="48"/>
      <c r="N51" s="57" t="str">
        <f>Translation!C129&amp;":"</f>
        <v xml:space="preserve">
dodatni prihranki pri rabi električne energije:</v>
      </c>
      <c r="O51" s="337"/>
      <c r="P51" s="116" t="s">
        <v>521</v>
      </c>
      <c r="Q51" s="103"/>
    </row>
    <row r="52" spans="2:17" ht="20.100000000000001" customHeight="1" x14ac:dyDescent="0.25">
      <c r="B52" s="47"/>
      <c r="C52" s="55"/>
      <c r="D52" s="55"/>
      <c r="E52" s="55"/>
      <c r="F52" s="55"/>
      <c r="G52" s="55"/>
      <c r="H52" s="55"/>
      <c r="I52" s="154"/>
      <c r="J52" s="48"/>
      <c r="K52" s="48"/>
      <c r="L52" s="48"/>
      <c r="M52" s="48"/>
      <c r="N52" s="48"/>
      <c r="O52" s="48"/>
      <c r="P52" s="48"/>
      <c r="Q52" s="49"/>
    </row>
    <row r="53" spans="2:17" ht="15" x14ac:dyDescent="0.25">
      <c r="B53" s="47"/>
      <c r="C53" s="55"/>
      <c r="D53" s="55"/>
      <c r="E53" s="55"/>
      <c r="F53" s="330"/>
      <c r="G53" s="55"/>
      <c r="H53" s="55"/>
      <c r="I53" s="55"/>
      <c r="J53" s="154"/>
      <c r="K53" s="419" t="str">
        <f>Translation!C126&amp;":"</f>
        <v>Ocenjeni prihranki pri rabi toplotne energije:</v>
      </c>
      <c r="L53" s="418" t="e">
        <f>IF(N53=0,0,-'T-Calc option A'!P94)</f>
        <v>#DIV/0!</v>
      </c>
      <c r="M53" s="420" t="s">
        <v>521</v>
      </c>
      <c r="N53" s="687" t="e">
        <f>IF(OR(COUNTBLANK(C20:C30)&lt;COUNTBLANK(O20:O30),COUNTBLANK(C40:C51)&lt;COUNTBLANK(O40:O51)),0,'T-Calc option A'!P93)</f>
        <v>#DIV/0!</v>
      </c>
      <c r="O53" s="688"/>
      <c r="P53" s="420" t="str">
        <f>" "&amp;Translation!C20</f>
        <v xml:space="preserve"> €/leto</v>
      </c>
      <c r="Q53" s="49"/>
    </row>
    <row r="54" spans="2:17" ht="8.1" customHeight="1" x14ac:dyDescent="0.25">
      <c r="B54" s="47"/>
      <c r="C54" s="55"/>
      <c r="D54" s="55"/>
      <c r="E54" s="55"/>
      <c r="F54" s="330"/>
      <c r="G54" s="55"/>
      <c r="H54" s="55"/>
      <c r="I54" s="55"/>
      <c r="J54" s="154"/>
      <c r="K54" s="419"/>
      <c r="L54" s="421"/>
      <c r="M54" s="421"/>
      <c r="N54" s="203"/>
      <c r="O54" s="203"/>
      <c r="P54" s="422"/>
      <c r="Q54" s="49"/>
    </row>
    <row r="55" spans="2:17" ht="15" x14ac:dyDescent="0.25">
      <c r="B55" s="47"/>
      <c r="C55" s="55"/>
      <c r="D55" s="55"/>
      <c r="E55" s="55"/>
      <c r="F55" s="330"/>
      <c r="G55" s="55"/>
      <c r="H55" s="55"/>
      <c r="I55" s="55"/>
      <c r="J55" s="154"/>
      <c r="K55" s="419" t="str">
        <f>Translation!C127&amp;":"</f>
        <v>Ocenjeni prihranki pri rabi električne energije:</v>
      </c>
      <c r="L55" s="418" t="e">
        <f>-'T-Calc option A'!Q99</f>
        <v>#DIV/0!</v>
      </c>
      <c r="M55" s="420" t="s">
        <v>521</v>
      </c>
      <c r="N55" s="687">
        <f>'T-Calc option A'!S99</f>
        <v>0</v>
      </c>
      <c r="O55" s="688"/>
      <c r="P55" s="420" t="str">
        <f>P53</f>
        <v xml:space="preserve"> €/leto</v>
      </c>
      <c r="Q55" s="49"/>
    </row>
    <row r="56" spans="2:17" ht="15" x14ac:dyDescent="0.25">
      <c r="B56" s="50"/>
      <c r="C56" s="51"/>
      <c r="D56" s="51"/>
      <c r="E56" s="51"/>
      <c r="F56" s="51"/>
      <c r="G56" s="51"/>
      <c r="H56" s="51"/>
      <c r="I56" s="51"/>
      <c r="J56" s="51"/>
      <c r="K56" s="51"/>
      <c r="L56" s="51"/>
      <c r="M56" s="51"/>
      <c r="N56" s="51"/>
      <c r="O56" s="51"/>
      <c r="P56" s="99"/>
      <c r="Q56" s="52"/>
    </row>
    <row r="57" spans="2:17" ht="20.100000000000001" customHeight="1" x14ac:dyDescent="0.25">
      <c r="B57" s="101"/>
      <c r="C57" s="101"/>
      <c r="D57" s="101"/>
      <c r="E57" s="101"/>
      <c r="F57" s="101"/>
      <c r="G57" s="101"/>
      <c r="H57" s="101"/>
      <c r="I57" s="101"/>
      <c r="J57" s="101"/>
      <c r="K57" s="101"/>
      <c r="L57" s="101"/>
      <c r="M57" s="101"/>
      <c r="N57" s="101"/>
      <c r="O57" s="101"/>
      <c r="P57" s="102"/>
      <c r="Q57" s="101"/>
    </row>
    <row r="58" spans="2:17" ht="20.100000000000001" customHeight="1" x14ac:dyDescent="0.25">
      <c r="B58" s="21"/>
      <c r="C58" s="22" t="str">
        <f>"6.B  "&amp;Translation!C118</f>
        <v>6.B  MOŽNOST B</v>
      </c>
      <c r="D58" s="23"/>
      <c r="E58" s="108"/>
      <c r="F58" s="77" t="str">
        <f>"("&amp;F12&amp;")"</f>
        <v>(uporabniku prilagojen in uravnotežen izračun prihrankov)</v>
      </c>
      <c r="G58" s="23"/>
      <c r="H58" s="23"/>
      <c r="I58" s="23"/>
      <c r="J58" s="23"/>
      <c r="K58" s="23"/>
      <c r="L58" s="23"/>
      <c r="M58" s="23"/>
      <c r="N58" s="23"/>
      <c r="O58" s="23"/>
      <c r="P58" s="23"/>
      <c r="Q58" s="24"/>
    </row>
    <row r="59" spans="2:17" ht="15.75" x14ac:dyDescent="0.25">
      <c r="B59" s="25"/>
      <c r="C59" s="78"/>
      <c r="D59" s="26"/>
      <c r="E59" s="26"/>
      <c r="F59" s="79"/>
      <c r="G59" s="26"/>
      <c r="H59" s="26"/>
      <c r="I59" s="26"/>
      <c r="J59" s="26"/>
      <c r="K59" s="26"/>
      <c r="L59" s="26"/>
      <c r="M59" s="26"/>
      <c r="N59" s="26"/>
      <c r="O59" s="26"/>
      <c r="P59" s="26"/>
      <c r="Q59" s="27"/>
    </row>
    <row r="60" spans="2:17" ht="8.1" customHeight="1" x14ac:dyDescent="0.25">
      <c r="B60" s="25"/>
      <c r="C60" s="26"/>
      <c r="D60" s="26"/>
      <c r="E60" s="26"/>
      <c r="F60" s="26"/>
      <c r="G60" s="26"/>
      <c r="H60" s="26"/>
      <c r="I60" s="26"/>
      <c r="J60" s="26"/>
      <c r="K60" s="26"/>
      <c r="L60" s="26"/>
      <c r="M60" s="26"/>
      <c r="N60" s="26"/>
      <c r="O60" s="26"/>
      <c r="P60" s="26"/>
      <c r="Q60" s="27"/>
    </row>
    <row r="61" spans="2:17" ht="15" customHeight="1" x14ac:dyDescent="0.25">
      <c r="B61" s="25"/>
      <c r="C61" s="26"/>
      <c r="D61" s="26"/>
      <c r="E61" s="26"/>
      <c r="F61" s="26"/>
      <c r="G61" s="104" t="str">
        <f>Translation!C138&amp;":"</f>
        <v>Izhodiščna raba toplote:</v>
      </c>
      <c r="H61" s="666"/>
      <c r="I61" s="667"/>
      <c r="J61" s="338" t="str">
        <f>L65</f>
        <v xml:space="preserve"> kWh/leto</v>
      </c>
      <c r="K61" s="82"/>
      <c r="L61" s="26"/>
      <c r="M61" s="26"/>
      <c r="N61" s="104" t="str">
        <f>Translation!C144&amp;":"</f>
        <v>Izhodiščni temperaturni primankljaj:</v>
      </c>
      <c r="O61" s="514"/>
      <c r="P61" s="338" t="str">
        <f>" "&amp;Translation!C3</f>
        <v xml:space="preserve"> Kd</v>
      </c>
      <c r="Q61" s="27"/>
    </row>
    <row r="62" spans="2:17" ht="8.1" customHeight="1" x14ac:dyDescent="0.25">
      <c r="B62" s="25"/>
      <c r="C62" s="26"/>
      <c r="D62" s="26"/>
      <c r="E62" s="26"/>
      <c r="F62" s="26"/>
      <c r="G62" s="104"/>
      <c r="H62" s="100"/>
      <c r="I62" s="100"/>
      <c r="J62" s="338"/>
      <c r="K62" s="82"/>
      <c r="L62" s="26"/>
      <c r="M62" s="26"/>
      <c r="N62" s="26"/>
      <c r="O62" s="26"/>
      <c r="P62" s="26"/>
      <c r="Q62" s="27"/>
    </row>
    <row r="63" spans="2:17" ht="15" x14ac:dyDescent="0.25">
      <c r="B63" s="25"/>
      <c r="C63" s="26"/>
      <c r="D63" s="26"/>
      <c r="E63" s="26"/>
      <c r="F63" s="26"/>
      <c r="G63" s="104" t="str">
        <f>Translation!C145&amp;":"</f>
        <v>Izhodiščna raba elektrike:</v>
      </c>
      <c r="H63" s="666"/>
      <c r="I63" s="667"/>
      <c r="J63" s="338" t="str">
        <f>J61</f>
        <v xml:space="preserve"> kWh/leto</v>
      </c>
      <c r="K63" s="82"/>
      <c r="L63" s="26"/>
      <c r="M63" s="26"/>
      <c r="N63" s="26"/>
      <c r="O63" s="26"/>
      <c r="P63" s="26"/>
      <c r="Q63" s="27"/>
    </row>
    <row r="64" spans="2:17" ht="20.100000000000001" customHeight="1" x14ac:dyDescent="0.25">
      <c r="B64" s="25"/>
      <c r="C64" s="26"/>
      <c r="D64" s="26"/>
      <c r="E64" s="26"/>
      <c r="F64" s="26"/>
      <c r="G64" s="26"/>
      <c r="H64" s="26"/>
      <c r="I64" s="26"/>
      <c r="J64" s="26"/>
      <c r="K64" s="26"/>
      <c r="L64" s="26"/>
      <c r="M64" s="26"/>
      <c r="N64" s="26"/>
      <c r="O64" s="26"/>
      <c r="P64" s="26"/>
      <c r="Q64" s="27"/>
    </row>
    <row r="65" spans="2:17" ht="15" x14ac:dyDescent="0.25">
      <c r="B65" s="25"/>
      <c r="C65" s="26"/>
      <c r="D65" s="26"/>
      <c r="E65" s="26"/>
      <c r="F65" s="26"/>
      <c r="G65" s="104" t="str">
        <f>K53</f>
        <v>Ocenjeni prihranki pri rabi toplotne energije:</v>
      </c>
      <c r="H65" s="337"/>
      <c r="I65" s="338" t="s">
        <v>521</v>
      </c>
      <c r="J65" s="691">
        <f>H61*H65/100</f>
        <v>0</v>
      </c>
      <c r="K65" s="692"/>
      <c r="L65" s="338" t="str">
        <f>" "&amp;Translation!C16</f>
        <v xml:space="preserve"> kWh/leto</v>
      </c>
      <c r="M65" s="26"/>
      <c r="N65" s="666"/>
      <c r="O65" s="667"/>
      <c r="P65" s="338" t="str">
        <f>P53</f>
        <v xml:space="preserve"> €/leto</v>
      </c>
      <c r="Q65" s="27"/>
    </row>
    <row r="66" spans="2:17" ht="8.1" customHeight="1" x14ac:dyDescent="0.25">
      <c r="B66" s="25"/>
      <c r="C66" s="26"/>
      <c r="D66" s="26"/>
      <c r="E66" s="26"/>
      <c r="F66" s="26"/>
      <c r="G66" s="104"/>
      <c r="H66" s="104"/>
      <c r="I66" s="338"/>
      <c r="J66" s="100"/>
      <c r="K66" s="100"/>
      <c r="L66" s="338"/>
      <c r="M66" s="26"/>
      <c r="N66" s="100"/>
      <c r="O66" s="100"/>
      <c r="P66" s="82"/>
      <c r="Q66" s="27"/>
    </row>
    <row r="67" spans="2:17" ht="15" x14ac:dyDescent="0.25">
      <c r="B67" s="25"/>
      <c r="C67" s="26"/>
      <c r="D67" s="26"/>
      <c r="E67" s="26"/>
      <c r="F67" s="26"/>
      <c r="G67" s="104" t="str">
        <f>K55</f>
        <v>Ocenjeni prihranki pri rabi električne energije:</v>
      </c>
      <c r="H67" s="337"/>
      <c r="I67" s="338" t="s">
        <v>521</v>
      </c>
      <c r="J67" s="691">
        <f>H63*H67/100</f>
        <v>0</v>
      </c>
      <c r="K67" s="692"/>
      <c r="L67" s="338" t="str">
        <f>L65</f>
        <v xml:space="preserve"> kWh/leto</v>
      </c>
      <c r="M67" s="26"/>
      <c r="N67" s="666"/>
      <c r="O67" s="667"/>
      <c r="P67" s="338" t="str">
        <f>P65</f>
        <v xml:space="preserve"> €/leto</v>
      </c>
      <c r="Q67" s="27"/>
    </row>
    <row r="68" spans="2:17" ht="15" x14ac:dyDescent="0.25">
      <c r="B68" s="29"/>
      <c r="C68" s="28"/>
      <c r="D68" s="28"/>
      <c r="E68" s="28"/>
      <c r="F68" s="28"/>
      <c r="G68" s="28"/>
      <c r="H68" s="28"/>
      <c r="I68" s="28"/>
      <c r="J68" s="28"/>
      <c r="K68" s="28"/>
      <c r="L68" s="28"/>
      <c r="M68" s="28"/>
      <c r="N68" s="28"/>
      <c r="O68" s="28"/>
      <c r="P68" s="28"/>
      <c r="Q68" s="30"/>
    </row>
    <row r="71" spans="2:17" s="106" customFormat="1" ht="20.100000000000001" hidden="1" customHeight="1" thickBot="1" x14ac:dyDescent="0.3"/>
    <row r="72" spans="2:17" ht="15.75" hidden="1" thickTop="1" x14ac:dyDescent="0.25"/>
    <row r="73" spans="2:17" ht="15" hidden="1" x14ac:dyDescent="0.25">
      <c r="C73" s="452" t="s">
        <v>188</v>
      </c>
      <c r="D73" s="510"/>
      <c r="E73" s="511">
        <v>1</v>
      </c>
    </row>
    <row r="74" spans="2:17" ht="15" hidden="1" x14ac:dyDescent="0.25">
      <c r="C74" s="512">
        <v>1</v>
      </c>
      <c r="D74" s="509" t="str">
        <f>Translation!C111</f>
        <v>Možnost A</v>
      </c>
      <c r="E74" s="504"/>
      <c r="F74" s="486" t="e">
        <f>L53/100</f>
        <v>#DIV/0!</v>
      </c>
      <c r="G74" s="374" t="e">
        <f>N53</f>
        <v>#DIV/0!</v>
      </c>
      <c r="H74" s="486" t="e">
        <f>L55/100</f>
        <v>#DIV/0!</v>
      </c>
      <c r="I74" s="374">
        <f>N55</f>
        <v>0</v>
      </c>
      <c r="J74" s="487">
        <f>'T-Calc option A'!P25</f>
        <v>-52.5</v>
      </c>
      <c r="K74" s="109" t="str">
        <f>P61</f>
        <v xml:space="preserve"> Kd</v>
      </c>
    </row>
    <row r="75" spans="2:17" ht="15" hidden="1" x14ac:dyDescent="0.25">
      <c r="C75" s="512">
        <v>2</v>
      </c>
      <c r="D75" s="93" t="str">
        <f>Translation!C112</f>
        <v>Možnost B</v>
      </c>
      <c r="E75" s="513"/>
      <c r="F75" s="486">
        <f>H65/100</f>
        <v>0</v>
      </c>
      <c r="G75" s="374">
        <f>N65</f>
        <v>0</v>
      </c>
      <c r="H75" s="486">
        <f>H67/100</f>
        <v>0</v>
      </c>
      <c r="I75" s="374">
        <f>N67</f>
        <v>0</v>
      </c>
      <c r="J75" s="487">
        <f>O61</f>
        <v>0</v>
      </c>
      <c r="K75" s="109" t="str">
        <f>P61</f>
        <v xml:space="preserve"> Kd</v>
      </c>
    </row>
    <row r="76" spans="2:17" ht="15" hidden="1" x14ac:dyDescent="0.25"/>
    <row r="77" spans="2:17" ht="15" hidden="1" x14ac:dyDescent="0.25"/>
    <row r="78" spans="2:17" ht="15" x14ac:dyDescent="0.25"/>
    <row r="79" spans="2:17" ht="15" x14ac:dyDescent="0.25"/>
    <row r="80" spans="2:17"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sheetData>
  <sheetProtection password="CE39" sheet="1" objects="1" scenarios="1" selectLockedCells="1"/>
  <mergeCells count="17">
    <mergeCell ref="J2:O2"/>
    <mergeCell ref="P2:Q2"/>
    <mergeCell ref="N65:O65"/>
    <mergeCell ref="S8:AA10"/>
    <mergeCell ref="S11:AA11"/>
    <mergeCell ref="S12:AA15"/>
    <mergeCell ref="F9:P10"/>
    <mergeCell ref="N67:O67"/>
    <mergeCell ref="F13:P14"/>
    <mergeCell ref="N53:O53"/>
    <mergeCell ref="N55:O55"/>
    <mergeCell ref="D49:H49"/>
    <mergeCell ref="D51:H51"/>
    <mergeCell ref="J65:K65"/>
    <mergeCell ref="J67:K67"/>
    <mergeCell ref="H61:I61"/>
    <mergeCell ref="H63:I63"/>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D74:D75" unlockedFormula="1"/>
    <ignoredError sqref="L54:O55 L53:M53 O5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20" r:id="rId4" name="Drop Down 4">
              <controlPr defaultSize="0" autoLine="0" autoPict="0" altText="">
                <anchor moveWithCells="1">
                  <from>
                    <xdr:col>3</xdr:col>
                    <xdr:colOff>28575</xdr:colOff>
                    <xdr:row>4</xdr:row>
                    <xdr:rowOff>104775</xdr:rowOff>
                  </from>
                  <to>
                    <xdr:col>7</xdr:col>
                    <xdr:colOff>180975</xdr:colOff>
                    <xdr:row>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00B050"/>
  </sheetPr>
  <dimension ref="B1:AB47"/>
  <sheetViews>
    <sheetView workbookViewId="0">
      <selection activeCell="I16" sqref="I16"/>
    </sheetView>
  </sheetViews>
  <sheetFormatPr defaultRowHeight="15" x14ac:dyDescent="0.25"/>
  <cols>
    <col min="1" max="1" width="2.7109375" style="9" customWidth="1"/>
    <col min="2" max="2" width="3.42578125" style="9" customWidth="1"/>
    <col min="3" max="3" width="3" style="9" customWidth="1"/>
    <col min="4" max="5" width="9.140625" style="9" customWidth="1"/>
    <col min="6" max="6" width="9.140625" style="9"/>
    <col min="7" max="7" width="9.140625" style="9" customWidth="1"/>
    <col min="8" max="16" width="9.140625" style="9"/>
    <col min="17" max="18" width="3.42578125" style="9" customWidth="1"/>
    <col min="19" max="16384" width="9.140625" style="9"/>
  </cols>
  <sheetData>
    <row r="1" spans="2:28" ht="20.100000000000001" customHeight="1" x14ac:dyDescent="0.25"/>
    <row r="2" spans="2:28" ht="60.75" customHeight="1" x14ac:dyDescent="0.25">
      <c r="H2" s="94"/>
      <c r="I2" s="94"/>
      <c r="J2" s="673" t="str">
        <f>'2'!J2:O2</f>
        <v>Subsidy
Evaluation
Tool</v>
      </c>
      <c r="K2" s="674"/>
      <c r="L2" s="674"/>
      <c r="M2" s="674"/>
      <c r="N2" s="674"/>
      <c r="O2" s="674"/>
      <c r="P2" s="672" t="str">
        <f>'2'!P2:Q2</f>
        <v>SET</v>
      </c>
      <c r="Q2" s="672"/>
    </row>
    <row r="3" spans="2:28" ht="20.100000000000001" customHeight="1" x14ac:dyDescent="0.25"/>
    <row r="4" spans="2:28" ht="20.100000000000001" customHeight="1" x14ac:dyDescent="0.25">
      <c r="B4" s="31"/>
      <c r="C4" s="32" t="str">
        <f>"7.  "&amp;Translation!C148</f>
        <v>7.  PARAMETERI ZA FINANČNI IZRAČUN</v>
      </c>
      <c r="D4" s="32"/>
      <c r="E4" s="33"/>
      <c r="F4" s="33"/>
      <c r="G4" s="33"/>
      <c r="H4" s="33"/>
      <c r="I4" s="33"/>
      <c r="J4" s="33"/>
      <c r="K4" s="33"/>
      <c r="L4" s="33"/>
      <c r="M4" s="33"/>
      <c r="N4" s="33"/>
      <c r="O4" s="33"/>
      <c r="P4" s="33"/>
      <c r="Q4" s="34"/>
      <c r="S4" s="54"/>
    </row>
    <row r="5" spans="2:28" x14ac:dyDescent="0.25">
      <c r="B5" s="35"/>
      <c r="C5" s="36"/>
      <c r="D5" s="36"/>
      <c r="E5" s="36"/>
      <c r="F5" s="36"/>
      <c r="G5" s="36"/>
      <c r="H5" s="36"/>
      <c r="I5" s="36"/>
      <c r="J5" s="36"/>
      <c r="K5" s="36"/>
      <c r="L5" s="36"/>
      <c r="M5" s="36"/>
      <c r="N5" s="36"/>
      <c r="O5" s="36"/>
      <c r="P5" s="36"/>
      <c r="Q5" s="37"/>
    </row>
    <row r="6" spans="2:28" ht="15" customHeight="1" x14ac:dyDescent="0.25">
      <c r="B6" s="35"/>
      <c r="C6" s="38" t="str">
        <f>Translation!C149&amp;": "&amp;VLOOKUP('4'!E73,'4'!C74:D75,2,FALSE)</f>
        <v>Metoda izračuna prihrankov energije: Možnost A</v>
      </c>
      <c r="D6" s="38"/>
      <c r="E6" s="36"/>
      <c r="F6" s="83"/>
      <c r="G6" s="36"/>
      <c r="H6" s="36"/>
      <c r="I6" s="36"/>
      <c r="J6" s="36"/>
      <c r="K6" s="36"/>
      <c r="L6" s="36"/>
      <c r="M6" s="36"/>
      <c r="N6" s="36"/>
      <c r="O6" s="36"/>
      <c r="P6" s="36"/>
      <c r="Q6" s="37"/>
      <c r="S6" s="668"/>
      <c r="T6" s="668"/>
      <c r="U6" s="668"/>
      <c r="V6" s="668"/>
      <c r="W6" s="668"/>
      <c r="X6" s="668"/>
      <c r="Y6" s="668"/>
      <c r="Z6" s="668"/>
      <c r="AA6" s="668"/>
      <c r="AB6" s="53"/>
    </row>
    <row r="7" spans="2:28" ht="15" customHeight="1" x14ac:dyDescent="0.25">
      <c r="B7" s="35"/>
      <c r="C7" s="36"/>
      <c r="D7" s="36"/>
      <c r="E7" s="36"/>
      <c r="F7" s="83"/>
      <c r="G7" s="36"/>
      <c r="H7" s="36"/>
      <c r="I7" s="36"/>
      <c r="J7" s="36"/>
      <c r="K7" s="36"/>
      <c r="L7" s="36"/>
      <c r="M7" s="36"/>
      <c r="N7" s="36"/>
      <c r="O7" s="36"/>
      <c r="P7" s="36"/>
      <c r="Q7" s="37"/>
    </row>
    <row r="8" spans="2:28" ht="15" customHeight="1" x14ac:dyDescent="0.25">
      <c r="B8" s="35"/>
      <c r="C8" s="36" t="str">
        <f>Translation!C150&amp;":"</f>
        <v>Naložba:</v>
      </c>
      <c r="D8" s="36"/>
      <c r="E8" s="36"/>
      <c r="F8" s="83"/>
      <c r="G8" s="36"/>
      <c r="H8" s="36"/>
      <c r="I8" s="699">
        <f>'3'!O46</f>
        <v>0</v>
      </c>
      <c r="J8" s="700"/>
      <c r="K8" s="85" t="str">
        <f>Translation!C10</f>
        <v>€</v>
      </c>
      <c r="L8" s="36"/>
      <c r="M8" s="36"/>
      <c r="N8" s="36"/>
      <c r="O8" s="36"/>
      <c r="P8" s="36"/>
      <c r="Q8" s="37"/>
    </row>
    <row r="9" spans="2:28" ht="8.1" customHeight="1" x14ac:dyDescent="0.25">
      <c r="B9" s="35"/>
      <c r="C9" s="36"/>
      <c r="D9" s="36"/>
      <c r="E9" s="36"/>
      <c r="F9" s="83"/>
      <c r="G9" s="36"/>
      <c r="H9" s="36"/>
      <c r="I9" s="36"/>
      <c r="J9" s="36"/>
      <c r="K9" s="36"/>
      <c r="L9" s="36"/>
      <c r="M9" s="36"/>
      <c r="N9" s="36"/>
      <c r="O9" s="36"/>
      <c r="P9" s="36"/>
      <c r="Q9" s="37"/>
    </row>
    <row r="10" spans="2:28" ht="15" customHeight="1" x14ac:dyDescent="0.25">
      <c r="B10" s="35"/>
      <c r="C10" s="39" t="str">
        <f>Translation!C151&amp;":"</f>
        <v>Ocenjeni prihranki pri porabi toplotne energije:</v>
      </c>
      <c r="D10" s="36"/>
      <c r="E10" s="36"/>
      <c r="F10" s="83"/>
      <c r="G10" s="36"/>
      <c r="H10" s="36"/>
      <c r="I10" s="699" t="e">
        <f>VLOOKUP('4'!E73,'4'!C74:I75,5,FALSE)</f>
        <v>#DIV/0!</v>
      </c>
      <c r="J10" s="700"/>
      <c r="K10" s="85" t="str">
        <f>Translation!C20</f>
        <v>€/leto</v>
      </c>
      <c r="L10" s="36"/>
      <c r="M10" s="36"/>
      <c r="N10" s="415" t="e">
        <f>VLOOKUP('4'!E73,'4'!C74:I75,4,FALSE)*100</f>
        <v>#DIV/0!</v>
      </c>
      <c r="O10" s="85" t="s">
        <v>27</v>
      </c>
      <c r="P10" s="36"/>
      <c r="Q10" s="37"/>
    </row>
    <row r="11" spans="2:28" ht="8.1" customHeight="1" x14ac:dyDescent="0.25">
      <c r="B11" s="35"/>
      <c r="C11" s="39"/>
      <c r="D11" s="36"/>
      <c r="E11" s="36"/>
      <c r="F11" s="83"/>
      <c r="G11" s="36"/>
      <c r="H11" s="36"/>
      <c r="I11" s="206"/>
      <c r="J11" s="206"/>
      <c r="K11" s="36"/>
      <c r="L11" s="36"/>
      <c r="M11" s="36"/>
      <c r="N11" s="36"/>
      <c r="O11" s="36"/>
      <c r="P11" s="36"/>
      <c r="Q11" s="37"/>
    </row>
    <row r="12" spans="2:28" ht="15" customHeight="1" x14ac:dyDescent="0.25">
      <c r="B12" s="35"/>
      <c r="C12" s="39" t="str">
        <f>Translation!C152&amp;":"</f>
        <v>Ocenjeni prihranki pri porabi električne energije:</v>
      </c>
      <c r="D12" s="36"/>
      <c r="E12" s="36"/>
      <c r="F12" s="83"/>
      <c r="G12" s="36"/>
      <c r="H12" s="36"/>
      <c r="I12" s="699">
        <f>VLOOKUP('4'!E73,'4'!C74:I75,7,FALSE)</f>
        <v>0</v>
      </c>
      <c r="J12" s="700"/>
      <c r="K12" s="85" t="str">
        <f>K10</f>
        <v>€/leto</v>
      </c>
      <c r="L12" s="36"/>
      <c r="M12" s="36"/>
      <c r="N12" s="415" t="e">
        <f>VLOOKUP('4'!E73,'4'!C74:I75,6,FALSE)*100</f>
        <v>#DIV/0!</v>
      </c>
      <c r="O12" s="85" t="str">
        <f>O10</f>
        <v>%</v>
      </c>
      <c r="P12" s="36"/>
      <c r="Q12" s="37"/>
    </row>
    <row r="13" spans="2:28" ht="8.1" customHeight="1" x14ac:dyDescent="0.25">
      <c r="B13" s="35"/>
      <c r="C13" s="36"/>
      <c r="D13" s="36"/>
      <c r="E13" s="36"/>
      <c r="F13" s="83"/>
      <c r="G13" s="36"/>
      <c r="H13" s="36"/>
      <c r="I13" s="36"/>
      <c r="J13" s="36"/>
      <c r="K13" s="36"/>
      <c r="L13" s="36"/>
      <c r="M13" s="36"/>
      <c r="N13" s="36"/>
      <c r="O13" s="36"/>
      <c r="P13" s="36"/>
      <c r="Q13" s="37"/>
    </row>
    <row r="14" spans="2:28" ht="15" customHeight="1" x14ac:dyDescent="0.25">
      <c r="B14" s="35"/>
      <c r="C14" s="39" t="str">
        <f>Translation!C153&amp;":"</f>
        <v>Skupaj prihranki:</v>
      </c>
      <c r="D14" s="36"/>
      <c r="E14" s="36"/>
      <c r="F14" s="83"/>
      <c r="G14" s="36"/>
      <c r="H14" s="36"/>
      <c r="I14" s="699" t="e">
        <f>I12+I10</f>
        <v>#DIV/0!</v>
      </c>
      <c r="J14" s="700"/>
      <c r="K14" s="85" t="str">
        <f>K12</f>
        <v>€/leto</v>
      </c>
      <c r="L14" s="36"/>
      <c r="M14" s="36"/>
      <c r="N14" s="36"/>
      <c r="O14" s="36"/>
      <c r="P14" s="36"/>
      <c r="Q14" s="37"/>
    </row>
    <row r="15" spans="2:28" ht="20.100000000000001" customHeight="1" x14ac:dyDescent="0.25">
      <c r="B15" s="35"/>
      <c r="C15" s="36"/>
      <c r="D15" s="36"/>
      <c r="E15" s="36"/>
      <c r="F15" s="83"/>
      <c r="G15" s="36"/>
      <c r="H15" s="36"/>
      <c r="I15" s="36"/>
      <c r="J15" s="36"/>
      <c r="K15" s="36"/>
      <c r="L15" s="36"/>
      <c r="M15" s="36"/>
      <c r="N15" s="36"/>
      <c r="O15" s="36"/>
      <c r="P15" s="36"/>
      <c r="Q15" s="37"/>
    </row>
    <row r="16" spans="2:28" ht="15" customHeight="1" x14ac:dyDescent="0.25">
      <c r="B16" s="35"/>
      <c r="C16" s="36" t="str">
        <f>Translation!C173</f>
        <v>Trajanje finančnega načrta</v>
      </c>
      <c r="D16" s="36"/>
      <c r="E16" s="36"/>
      <c r="F16" s="83"/>
      <c r="G16" s="36"/>
      <c r="H16" s="36"/>
      <c r="I16" s="501">
        <v>20</v>
      </c>
      <c r="J16" s="85" t="str">
        <f>O34</f>
        <v>leta</v>
      </c>
      <c r="K16" s="428" t="str">
        <f>IF(I16&gt;20,Translation!C175,"")</f>
        <v/>
      </c>
      <c r="L16" s="36"/>
      <c r="M16" s="36"/>
      <c r="N16" s="36"/>
      <c r="O16" s="36"/>
      <c r="P16" s="36"/>
      <c r="Q16" s="37"/>
    </row>
    <row r="17" spans="2:27" ht="8.1" customHeight="1" x14ac:dyDescent="0.25">
      <c r="B17" s="35"/>
      <c r="C17" s="36"/>
      <c r="D17" s="36"/>
      <c r="E17" s="36"/>
      <c r="F17" s="83"/>
      <c r="G17" s="36"/>
      <c r="H17" s="36"/>
      <c r="I17" s="375"/>
      <c r="J17" s="36"/>
      <c r="K17" s="36"/>
      <c r="L17" s="36"/>
      <c r="M17" s="36"/>
      <c r="N17" s="36"/>
      <c r="O17" s="36"/>
      <c r="P17" s="36"/>
      <c r="Q17" s="37"/>
    </row>
    <row r="18" spans="2:27" ht="15" customHeight="1" x14ac:dyDescent="0.25">
      <c r="B18" s="35"/>
      <c r="C18" s="36" t="str">
        <f>Translation!C154</f>
        <v>Stopnja splošne inflacije</v>
      </c>
      <c r="D18" s="36"/>
      <c r="E18" s="36"/>
      <c r="F18" s="83"/>
      <c r="G18" s="36"/>
      <c r="H18" s="36"/>
      <c r="I18" s="335">
        <v>3</v>
      </c>
      <c r="J18" s="85" t="s">
        <v>27</v>
      </c>
      <c r="K18" s="36"/>
      <c r="L18" s="36"/>
      <c r="M18" s="36"/>
      <c r="N18" s="36"/>
      <c r="O18" s="36"/>
      <c r="P18" s="36"/>
      <c r="Q18" s="37"/>
    </row>
    <row r="19" spans="2:27" ht="8.1" customHeight="1" x14ac:dyDescent="0.25">
      <c r="B19" s="35"/>
      <c r="C19" s="36"/>
      <c r="D19" s="36"/>
      <c r="E19" s="36"/>
      <c r="F19" s="83"/>
      <c r="G19" s="36"/>
      <c r="H19" s="36"/>
      <c r="I19" s="375"/>
      <c r="J19" s="36"/>
      <c r="K19" s="36"/>
      <c r="L19" s="36"/>
      <c r="M19" s="36"/>
      <c r="N19" s="36"/>
      <c r="O19" s="36"/>
      <c r="P19" s="36"/>
      <c r="Q19" s="37"/>
    </row>
    <row r="20" spans="2:27" ht="15" customHeight="1" x14ac:dyDescent="0.25">
      <c r="B20" s="35"/>
      <c r="C20" s="36" t="str">
        <f>Translation!C155</f>
        <v>Stopnja inflacije cen električne energije</v>
      </c>
      <c r="D20" s="36"/>
      <c r="E20" s="36"/>
      <c r="F20" s="83"/>
      <c r="G20" s="36"/>
      <c r="H20" s="36"/>
      <c r="I20" s="335">
        <v>1</v>
      </c>
      <c r="J20" s="85" t="s">
        <v>27</v>
      </c>
      <c r="K20" s="36"/>
      <c r="L20" s="36"/>
      <c r="M20" s="36"/>
      <c r="N20" s="36"/>
      <c r="O20" s="36"/>
      <c r="P20" s="36"/>
      <c r="Q20" s="37"/>
    </row>
    <row r="21" spans="2:27" ht="8.1" customHeight="1" x14ac:dyDescent="0.25">
      <c r="B21" s="35"/>
      <c r="C21" s="36"/>
      <c r="D21" s="36"/>
      <c r="E21" s="36"/>
      <c r="F21" s="83"/>
      <c r="G21" s="36"/>
      <c r="H21" s="36"/>
      <c r="I21" s="375"/>
      <c r="J21" s="36"/>
      <c r="K21" s="36"/>
      <c r="L21" s="36"/>
      <c r="M21" s="36"/>
      <c r="N21" s="36"/>
      <c r="O21" s="36"/>
      <c r="P21" s="36"/>
      <c r="Q21" s="37"/>
    </row>
    <row r="22" spans="2:27" ht="15" customHeight="1" x14ac:dyDescent="0.25">
      <c r="B22" s="35"/>
      <c r="C22" s="36" t="str">
        <f>Translation!C156</f>
        <v>Stopnja inflacije energentov</v>
      </c>
      <c r="D22" s="36"/>
      <c r="E22" s="36"/>
      <c r="F22" s="83"/>
      <c r="G22" s="36"/>
      <c r="H22" s="36"/>
      <c r="I22" s="335">
        <v>1</v>
      </c>
      <c r="J22" s="85" t="s">
        <v>27</v>
      </c>
      <c r="K22" s="36"/>
      <c r="L22" s="36"/>
      <c r="M22" s="36"/>
      <c r="N22" s="36"/>
      <c r="O22" s="36"/>
      <c r="P22" s="36"/>
      <c r="Q22" s="37"/>
    </row>
    <row r="23" spans="2:27" ht="8.1" customHeight="1" x14ac:dyDescent="0.25">
      <c r="B23" s="35"/>
      <c r="C23" s="36"/>
      <c r="D23" s="36"/>
      <c r="E23" s="36"/>
      <c r="F23" s="83"/>
      <c r="G23" s="375"/>
      <c r="H23" s="36"/>
      <c r="I23" s="36"/>
      <c r="J23" s="36"/>
      <c r="K23" s="36"/>
      <c r="L23" s="36"/>
      <c r="M23" s="36"/>
      <c r="N23" s="36"/>
      <c r="O23" s="36"/>
      <c r="P23" s="36"/>
      <c r="Q23" s="37"/>
    </row>
    <row r="24" spans="2:27" ht="15" customHeight="1" x14ac:dyDescent="0.25">
      <c r="B24" s="35"/>
      <c r="C24" s="36" t="str">
        <f>Translation!C157</f>
        <v>Neto sedanja vrednost (NPV) diskontne stopnje</v>
      </c>
      <c r="D24" s="36"/>
      <c r="E24" s="36"/>
      <c r="F24" s="83"/>
      <c r="G24" s="36"/>
      <c r="H24" s="36"/>
      <c r="I24" s="335">
        <v>5</v>
      </c>
      <c r="J24" s="85" t="s">
        <v>27</v>
      </c>
      <c r="K24" s="36"/>
      <c r="L24" s="36"/>
      <c r="M24" s="36"/>
      <c r="N24" s="36"/>
      <c r="O24" s="36"/>
      <c r="P24" s="36"/>
      <c r="Q24" s="37"/>
    </row>
    <row r="25" spans="2:27" ht="8.1" customHeight="1" x14ac:dyDescent="0.25">
      <c r="B25" s="35"/>
      <c r="C25" s="36"/>
      <c r="D25" s="36"/>
      <c r="E25" s="36"/>
      <c r="F25" s="83"/>
      <c r="G25" s="375"/>
      <c r="H25" s="36"/>
      <c r="I25" s="36"/>
      <c r="J25" s="36"/>
      <c r="K25" s="36"/>
      <c r="L25" s="36"/>
      <c r="M25" s="36"/>
      <c r="N25" s="36"/>
      <c r="O25" s="36"/>
      <c r="P25" s="36"/>
      <c r="Q25" s="37"/>
    </row>
    <row r="26" spans="2:27" ht="15" customHeight="1" x14ac:dyDescent="0.25">
      <c r="B26" s="35"/>
      <c r="C26" s="36" t="str">
        <f>Translation!C159&amp;" *"</f>
        <v>Notranja stopnja donosa (IRR) *</v>
      </c>
      <c r="D26" s="36"/>
      <c r="E26" s="36"/>
      <c r="F26" s="83"/>
      <c r="G26" s="375"/>
      <c r="H26" s="36"/>
      <c r="I26" s="335">
        <v>5</v>
      </c>
      <c r="J26" s="85" t="s">
        <v>27</v>
      </c>
      <c r="K26" s="36"/>
      <c r="L26" s="36"/>
      <c r="M26" s="36"/>
      <c r="N26" s="36"/>
      <c r="O26" s="36"/>
      <c r="P26" s="36"/>
      <c r="Q26" s="37"/>
    </row>
    <row r="27" spans="2:27" ht="20.100000000000001" customHeight="1" x14ac:dyDescent="0.25">
      <c r="B27" s="35"/>
      <c r="C27" s="36"/>
      <c r="D27" s="36"/>
      <c r="E27" s="36"/>
      <c r="F27" s="83"/>
      <c r="G27" s="36"/>
      <c r="H27" s="36"/>
      <c r="I27" s="36"/>
      <c r="J27" s="36"/>
      <c r="K27" s="36"/>
      <c r="L27" s="36"/>
      <c r="M27" s="36"/>
      <c r="N27" s="36"/>
      <c r="O27" s="36"/>
      <c r="P27" s="36"/>
      <c r="Q27" s="37"/>
    </row>
    <row r="28" spans="2:27" ht="15" customHeight="1" x14ac:dyDescent="0.25">
      <c r="B28" s="35"/>
      <c r="C28" s="36" t="str">
        <f>Translation!C164&amp;":"</f>
        <v>Subvencija:</v>
      </c>
      <c r="D28" s="36"/>
      <c r="E28" s="36"/>
      <c r="F28" s="83"/>
      <c r="G28" s="36"/>
      <c r="H28" s="36"/>
      <c r="I28" s="699" t="e">
        <f>IF(I26/100&lt;'F-Calc Subsidy'!B22,0,VLOOKUP('5'!I26/100,'F-Calc Subsidy'!B21:F121,2))</f>
        <v>#VALUE!</v>
      </c>
      <c r="J28" s="700"/>
      <c r="K28" s="85" t="str">
        <f>K34</f>
        <v>€</v>
      </c>
      <c r="L28" s="36"/>
      <c r="M28" s="87" t="str">
        <f>Translation!C172</f>
        <v>ekvivalent</v>
      </c>
      <c r="N28" s="415" t="e">
        <f>I28/I8*100</f>
        <v>#VALUE!</v>
      </c>
      <c r="O28" s="85" t="str">
        <f>Translation!C161</f>
        <v>% celotne naložbe</v>
      </c>
      <c r="P28" s="36"/>
      <c r="Q28" s="37"/>
    </row>
    <row r="29" spans="2:27" ht="8.1" customHeight="1" x14ac:dyDescent="0.25">
      <c r="B29" s="35"/>
      <c r="C29" s="36"/>
      <c r="D29" s="36"/>
      <c r="E29" s="36"/>
      <c r="F29" s="83"/>
      <c r="G29" s="36"/>
      <c r="H29" s="36"/>
      <c r="I29" s="36"/>
      <c r="J29" s="36"/>
      <c r="K29" s="36"/>
      <c r="L29" s="36"/>
      <c r="M29" s="36"/>
      <c r="N29" s="36"/>
      <c r="O29" s="36"/>
      <c r="P29" s="36"/>
      <c r="Q29" s="37"/>
    </row>
    <row r="30" spans="2:27" x14ac:dyDescent="0.25">
      <c r="B30" s="40"/>
      <c r="C30" s="41"/>
      <c r="D30" s="41"/>
      <c r="E30" s="41"/>
      <c r="F30" s="41"/>
      <c r="G30" s="41"/>
      <c r="H30" s="41"/>
      <c r="I30" s="41"/>
      <c r="J30" s="41"/>
      <c r="K30" s="41"/>
      <c r="L30" s="41"/>
      <c r="M30" s="41"/>
      <c r="N30" s="41"/>
      <c r="O30" s="41"/>
      <c r="P30" s="41"/>
      <c r="Q30" s="42"/>
      <c r="S30" s="668"/>
      <c r="T30" s="668"/>
      <c r="U30" s="668"/>
      <c r="V30" s="668"/>
      <c r="W30" s="668"/>
      <c r="X30" s="668"/>
      <c r="Y30" s="668"/>
      <c r="Z30" s="668"/>
      <c r="AA30" s="668"/>
    </row>
    <row r="31" spans="2:27" ht="20.100000000000001" customHeight="1" x14ac:dyDescent="0.25"/>
    <row r="32" spans="2:27" ht="20.100000000000001" customHeight="1" x14ac:dyDescent="0.25">
      <c r="B32" s="453"/>
      <c r="C32" s="454" t="str">
        <f>"8.  "&amp;Translation!C174</f>
        <v xml:space="preserve">8.  FINANČNI PODATKI PODJETJA </v>
      </c>
      <c r="D32" s="454"/>
      <c r="E32" s="455"/>
      <c r="F32" s="455"/>
      <c r="G32" s="455"/>
      <c r="H32" s="455"/>
      <c r="I32" s="455"/>
      <c r="J32" s="455"/>
      <c r="K32" s="455"/>
      <c r="L32" s="455"/>
      <c r="M32" s="455"/>
      <c r="N32" s="455"/>
      <c r="O32" s="455"/>
      <c r="P32" s="455"/>
      <c r="Q32" s="456"/>
    </row>
    <row r="33" spans="2:17" ht="15" customHeight="1" x14ac:dyDescent="0.25">
      <c r="B33" s="457"/>
      <c r="C33" s="458"/>
      <c r="D33" s="458"/>
      <c r="E33" s="459"/>
      <c r="F33" s="459"/>
      <c r="G33" s="459"/>
      <c r="H33" s="459"/>
      <c r="I33" s="459"/>
      <c r="J33" s="459"/>
      <c r="K33" s="459"/>
      <c r="L33" s="459"/>
      <c r="M33" s="459"/>
      <c r="N33" s="459"/>
      <c r="O33" s="459"/>
      <c r="P33" s="459"/>
      <c r="Q33" s="460"/>
    </row>
    <row r="34" spans="2:17" ht="15" customHeight="1" x14ac:dyDescent="0.25">
      <c r="B34" s="457"/>
      <c r="C34" s="459" t="str">
        <f>Translation!C170&amp;":"</f>
        <v>Znesek posojila:</v>
      </c>
      <c r="D34" s="459"/>
      <c r="E34" s="459"/>
      <c r="F34" s="465"/>
      <c r="G34" s="459"/>
      <c r="H34" s="459"/>
      <c r="I34" s="666"/>
      <c r="J34" s="667"/>
      <c r="K34" s="461" t="str">
        <f>K38</f>
        <v>€</v>
      </c>
      <c r="L34" s="459"/>
      <c r="M34" s="466" t="str">
        <f>Translation!C171</f>
        <v>Obdobje posojila</v>
      </c>
      <c r="N34" s="501"/>
      <c r="O34" s="461" t="str">
        <f>Translation!C21</f>
        <v>leta</v>
      </c>
      <c r="P34" s="459"/>
      <c r="Q34" s="460"/>
    </row>
    <row r="35" spans="2:17" ht="8.1" customHeight="1" x14ac:dyDescent="0.25">
      <c r="B35" s="457"/>
      <c r="C35" s="459"/>
      <c r="D35" s="459"/>
      <c r="E35" s="459"/>
      <c r="F35" s="465"/>
      <c r="G35" s="459"/>
      <c r="H35" s="459"/>
      <c r="I35" s="459" t="s">
        <v>738</v>
      </c>
      <c r="J35" s="459"/>
      <c r="K35" s="459"/>
      <c r="L35" s="459"/>
      <c r="M35" s="459"/>
      <c r="N35" s="459"/>
      <c r="O35" s="459"/>
      <c r="P35" s="459"/>
      <c r="Q35" s="460"/>
    </row>
    <row r="36" spans="2:17" ht="15" customHeight="1" x14ac:dyDescent="0.25">
      <c r="B36" s="457"/>
      <c r="C36" s="459"/>
      <c r="D36" s="459"/>
      <c r="E36" s="459"/>
      <c r="F36" s="465"/>
      <c r="G36" s="459"/>
      <c r="H36" s="459"/>
      <c r="I36" s="459"/>
      <c r="J36" s="459"/>
      <c r="K36" s="459"/>
      <c r="L36" s="459"/>
      <c r="M36" s="466" t="str">
        <f>Translation!C160</f>
        <v>Letna obrestna mera</v>
      </c>
      <c r="N36" s="335"/>
      <c r="O36" s="461" t="s">
        <v>27</v>
      </c>
      <c r="P36" s="459"/>
      <c r="Q36" s="460"/>
    </row>
    <row r="37" spans="2:17" ht="8.1" customHeight="1" x14ac:dyDescent="0.25">
      <c r="B37" s="457"/>
      <c r="C37" s="459"/>
      <c r="D37" s="459"/>
      <c r="E37" s="459"/>
      <c r="F37" s="465"/>
      <c r="G37" s="459"/>
      <c r="H37" s="459"/>
      <c r="I37" s="459"/>
      <c r="J37" s="459"/>
      <c r="K37" s="459"/>
      <c r="L37" s="459"/>
      <c r="M37" s="459"/>
      <c r="N37" s="459"/>
      <c r="O37" s="459"/>
      <c r="P37" s="459"/>
      <c r="Q37" s="460"/>
    </row>
    <row r="38" spans="2:17" ht="15" customHeight="1" x14ac:dyDescent="0.25">
      <c r="B38" s="457"/>
      <c r="C38" s="459" t="str">
        <f>Translation!C169&amp;":"</f>
        <v>Lastni kapital:</v>
      </c>
      <c r="D38" s="459"/>
      <c r="E38" s="459"/>
      <c r="F38" s="465"/>
      <c r="G38" s="459"/>
      <c r="H38" s="459"/>
      <c r="I38" s="701" t="e">
        <f>I8-(I28+I34)</f>
        <v>#VALUE!</v>
      </c>
      <c r="J38" s="702"/>
      <c r="K38" s="461" t="str">
        <f>K8</f>
        <v>€</v>
      </c>
      <c r="L38" s="495" t="e">
        <f>IF(N34&gt;I16,Translation!C177,IF(I38&lt;0,Translation!C176,""))</f>
        <v>#VALUE!</v>
      </c>
      <c r="M38" s="459"/>
      <c r="N38" s="459"/>
      <c r="O38" s="459"/>
      <c r="P38" s="459"/>
      <c r="Q38" s="460"/>
    </row>
    <row r="39" spans="2:17" x14ac:dyDescent="0.25">
      <c r="B39" s="462"/>
      <c r="C39" s="463"/>
      <c r="D39" s="463"/>
      <c r="E39" s="463"/>
      <c r="F39" s="463"/>
      <c r="G39" s="463"/>
      <c r="H39" s="463"/>
      <c r="I39" s="463"/>
      <c r="J39" s="463"/>
      <c r="K39" s="463"/>
      <c r="L39" s="463"/>
      <c r="M39" s="463"/>
      <c r="N39" s="463"/>
      <c r="O39" s="463"/>
      <c r="P39" s="463"/>
      <c r="Q39" s="464"/>
    </row>
    <row r="40" spans="2:17" ht="20.100000000000001" customHeight="1" x14ac:dyDescent="0.25"/>
    <row r="41" spans="2:17" s="106" customFormat="1" ht="20.100000000000001" hidden="1" customHeight="1" thickBot="1" x14ac:dyDescent="0.3"/>
    <row r="42" spans="2:17" ht="15.75" hidden="1" thickTop="1" x14ac:dyDescent="0.25"/>
    <row r="43" spans="2:17" hidden="1" x14ac:dyDescent="0.25"/>
    <row r="44" spans="2:17" hidden="1" x14ac:dyDescent="0.25">
      <c r="B44" s="696" t="str">
        <f>C16</f>
        <v>Trajanje finančnega načrta</v>
      </c>
      <c r="C44" s="697"/>
      <c r="D44" s="697"/>
      <c r="E44" s="697"/>
      <c r="F44" s="697"/>
      <c r="G44" s="698"/>
      <c r="H44" s="449">
        <f>I16</f>
        <v>20</v>
      </c>
      <c r="I44" s="386" t="str">
        <f>J16</f>
        <v>leta</v>
      </c>
      <c r="J44" s="117">
        <f>IF(H44&gt;20,20,H44)</f>
        <v>20</v>
      </c>
      <c r="K44" s="385" t="str">
        <f>I44</f>
        <v>leta</v>
      </c>
      <c r="L44" s="197"/>
    </row>
    <row r="45" spans="2:17" hidden="1" x14ac:dyDescent="0.25">
      <c r="B45" s="693" t="str">
        <f>M34</f>
        <v>Obdobje posojila</v>
      </c>
      <c r="C45" s="694"/>
      <c r="D45" s="694"/>
      <c r="E45" s="694"/>
      <c r="F45" s="694"/>
      <c r="G45" s="695"/>
      <c r="H45" s="449">
        <f>N34</f>
        <v>0</v>
      </c>
      <c r="I45" s="386" t="str">
        <f>O34</f>
        <v>leta</v>
      </c>
      <c r="J45" s="117">
        <f>IF(H45&gt;J44,J44,H45)</f>
        <v>0</v>
      </c>
      <c r="K45" s="385" t="str">
        <f>I45</f>
        <v>leta</v>
      </c>
      <c r="L45" s="197"/>
    </row>
    <row r="46" spans="2:17" hidden="1" x14ac:dyDescent="0.25"/>
    <row r="47" spans="2:17" hidden="1" x14ac:dyDescent="0.25"/>
  </sheetData>
  <sheetProtection password="CE79" sheet="1" objects="1" scenarios="1" selectLockedCells="1"/>
  <mergeCells count="13">
    <mergeCell ref="J2:O2"/>
    <mergeCell ref="P2:Q2"/>
    <mergeCell ref="I8:J8"/>
    <mergeCell ref="I38:J38"/>
    <mergeCell ref="I34:J34"/>
    <mergeCell ref="B45:G45"/>
    <mergeCell ref="B44:G44"/>
    <mergeCell ref="S6:AA6"/>
    <mergeCell ref="I10:J10"/>
    <mergeCell ref="I12:J12"/>
    <mergeCell ref="S30:AA30"/>
    <mergeCell ref="I28:J28"/>
    <mergeCell ref="I14:J14"/>
  </mergeCells>
  <printOptions horizontalCentered="1"/>
  <pageMargins left="0.19685039370078741" right="0.19685039370078741" top="0.47244094488188981" bottom="0.59055118110236227" header="0.31496062992125984" footer="0.31496062992125984"/>
  <pageSetup paperSize="9" scale="70" orientation="portrait" r:id="rId1"/>
  <ignoredErrors>
    <ignoredError sqref="I10:N15 I28:N33 I35:N35 K34:M34 I37:N38 I36:M36 I17:N27 J16:N16"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142"/>
  <sheetViews>
    <sheetView workbookViewId="0">
      <selection activeCell="K9" sqref="K9"/>
    </sheetView>
  </sheetViews>
  <sheetFormatPr defaultRowHeight="12" x14ac:dyDescent="0.25"/>
  <cols>
    <col min="1" max="1" width="2.7109375" style="344" customWidth="1"/>
    <col min="2" max="2" width="3.42578125" style="344" customWidth="1"/>
    <col min="3" max="3" width="3" style="344" customWidth="1"/>
    <col min="4" max="6" width="9.28515625" style="344" customWidth="1"/>
    <col min="7" max="9" width="9.42578125" style="344" customWidth="1"/>
    <col min="10" max="10" width="10.28515625" style="344" customWidth="1"/>
    <col min="11" max="11" width="8.28515625" style="344" bestFit="1" customWidth="1"/>
    <col min="12" max="30" width="9.42578125" style="344" customWidth="1"/>
    <col min="31" max="31" width="3.42578125" style="344" customWidth="1"/>
    <col min="32" max="32" width="2.7109375" style="390" customWidth="1"/>
    <col min="33" max="16384" width="9.140625" style="344"/>
  </cols>
  <sheetData>
    <row r="1" spans="1:32" s="9" customFormat="1" ht="20.100000000000001" customHeight="1" x14ac:dyDescent="0.25"/>
    <row r="2" spans="1:32" s="9" customFormat="1" ht="60.75" customHeight="1" x14ac:dyDescent="0.35">
      <c r="J2" s="94"/>
      <c r="K2" s="94"/>
      <c r="M2" s="705" t="str">
        <f>Translation!C178</f>
        <v>FINANČNI NAČRT</v>
      </c>
      <c r="N2" s="705"/>
      <c r="O2" s="705"/>
      <c r="P2" s="705"/>
      <c r="Q2" s="705"/>
      <c r="R2" s="705"/>
      <c r="S2" s="705"/>
      <c r="T2" s="705"/>
      <c r="U2" s="705"/>
      <c r="V2" s="705"/>
      <c r="W2" s="705"/>
      <c r="X2" s="673" t="str">
        <f>'2'!J2</f>
        <v>Subsidy
Evaluation
Tool</v>
      </c>
      <c r="Y2" s="674"/>
      <c r="Z2" s="674"/>
      <c r="AA2" s="674"/>
      <c r="AB2" s="674"/>
      <c r="AC2" s="674"/>
      <c r="AD2" s="672" t="str">
        <f>'2'!P2</f>
        <v>SET</v>
      </c>
      <c r="AE2" s="672"/>
    </row>
    <row r="3" spans="1:32" s="9" customFormat="1" ht="20.100000000000001" customHeight="1" x14ac:dyDescent="0.25">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row>
    <row r="4" spans="1:32" ht="15" customHeight="1" x14ac:dyDescent="0.25">
      <c r="A4" s="394"/>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6"/>
    </row>
    <row r="5" spans="1:32" ht="15" customHeight="1" x14ac:dyDescent="0.25">
      <c r="A5" s="394"/>
      <c r="B5" s="391"/>
      <c r="C5" s="391"/>
      <c r="D5" s="391"/>
      <c r="E5" s="391"/>
      <c r="F5" s="391"/>
      <c r="G5" s="391"/>
      <c r="H5" s="391"/>
      <c r="I5" s="391"/>
      <c r="J5" s="391"/>
      <c r="K5" s="710" t="str">
        <f>Translation!C181</f>
        <v>IZKAZ POSLOVNEGA IZIDA</v>
      </c>
      <c r="L5" s="711"/>
      <c r="M5" s="711"/>
      <c r="N5" s="711"/>
      <c r="O5" s="711"/>
      <c r="P5" s="711"/>
      <c r="Q5" s="711"/>
      <c r="R5" s="711"/>
      <c r="S5" s="711"/>
      <c r="T5" s="711"/>
      <c r="U5" s="711"/>
      <c r="V5" s="711"/>
      <c r="W5" s="711"/>
      <c r="X5" s="711"/>
      <c r="Y5" s="711"/>
      <c r="Z5" s="711"/>
      <c r="AA5" s="711"/>
      <c r="AB5" s="711"/>
      <c r="AC5" s="711"/>
      <c r="AD5" s="712"/>
      <c r="AE5" s="391"/>
      <c r="AF5" s="396"/>
    </row>
    <row r="6" spans="1:32" ht="15" customHeight="1" x14ac:dyDescent="0.25">
      <c r="A6" s="394"/>
      <c r="B6" s="391"/>
      <c r="C6" s="391"/>
      <c r="D6" s="391"/>
      <c r="E6" s="391"/>
      <c r="F6" s="391"/>
      <c r="G6" s="391"/>
      <c r="H6" s="391"/>
      <c r="I6" s="391"/>
      <c r="J6" s="391"/>
      <c r="K6" s="430">
        <f>IF(K28="","",K28)</f>
        <v>1</v>
      </c>
      <c r="L6" s="430">
        <f t="shared" ref="L6:AD6" si="0">IF(L28="","",L28)</f>
        <v>2</v>
      </c>
      <c r="M6" s="430">
        <f t="shared" si="0"/>
        <v>3</v>
      </c>
      <c r="N6" s="430">
        <f t="shared" si="0"/>
        <v>4</v>
      </c>
      <c r="O6" s="430">
        <f t="shared" si="0"/>
        <v>5</v>
      </c>
      <c r="P6" s="430">
        <f t="shared" si="0"/>
        <v>6</v>
      </c>
      <c r="Q6" s="430">
        <f t="shared" si="0"/>
        <v>7</v>
      </c>
      <c r="R6" s="430">
        <f t="shared" si="0"/>
        <v>8</v>
      </c>
      <c r="S6" s="430">
        <f t="shared" si="0"/>
        <v>9</v>
      </c>
      <c r="T6" s="430">
        <f t="shared" si="0"/>
        <v>10</v>
      </c>
      <c r="U6" s="430">
        <f t="shared" si="0"/>
        <v>11</v>
      </c>
      <c r="V6" s="430">
        <f t="shared" si="0"/>
        <v>12</v>
      </c>
      <c r="W6" s="430">
        <f t="shared" si="0"/>
        <v>13</v>
      </c>
      <c r="X6" s="430">
        <f t="shared" si="0"/>
        <v>14</v>
      </c>
      <c r="Y6" s="430">
        <f t="shared" si="0"/>
        <v>15</v>
      </c>
      <c r="Z6" s="430">
        <f t="shared" si="0"/>
        <v>16</v>
      </c>
      <c r="AA6" s="430">
        <f t="shared" si="0"/>
        <v>17</v>
      </c>
      <c r="AB6" s="430">
        <f t="shared" si="0"/>
        <v>18</v>
      </c>
      <c r="AC6" s="430">
        <f t="shared" si="0"/>
        <v>19</v>
      </c>
      <c r="AD6" s="430">
        <f t="shared" si="0"/>
        <v>20</v>
      </c>
      <c r="AE6" s="391"/>
      <c r="AF6" s="396"/>
    </row>
    <row r="7" spans="1:32" ht="15" customHeight="1" x14ac:dyDescent="0.25">
      <c r="A7" s="394"/>
      <c r="B7" s="391"/>
      <c r="C7" s="391"/>
      <c r="D7" s="391"/>
      <c r="E7" s="391"/>
      <c r="F7" s="391"/>
      <c r="G7" s="391"/>
      <c r="H7" s="391"/>
      <c r="I7" s="391"/>
      <c r="J7" s="391"/>
      <c r="K7" s="430">
        <f t="shared" ref="K7:AD7" ca="1" si="1">IF(K6="","",K54)</f>
        <v>2019</v>
      </c>
      <c r="L7" s="430">
        <f t="shared" ca="1" si="1"/>
        <v>2020</v>
      </c>
      <c r="M7" s="430">
        <f t="shared" ca="1" si="1"/>
        <v>2021</v>
      </c>
      <c r="N7" s="430">
        <f t="shared" ca="1" si="1"/>
        <v>2022</v>
      </c>
      <c r="O7" s="430">
        <f t="shared" ca="1" si="1"/>
        <v>2023</v>
      </c>
      <c r="P7" s="430">
        <f t="shared" ca="1" si="1"/>
        <v>2024</v>
      </c>
      <c r="Q7" s="430">
        <f t="shared" ca="1" si="1"/>
        <v>2025</v>
      </c>
      <c r="R7" s="430">
        <f t="shared" ca="1" si="1"/>
        <v>2026</v>
      </c>
      <c r="S7" s="430">
        <f t="shared" ca="1" si="1"/>
        <v>2027</v>
      </c>
      <c r="T7" s="430">
        <f t="shared" ca="1" si="1"/>
        <v>2028</v>
      </c>
      <c r="U7" s="430">
        <f t="shared" ca="1" si="1"/>
        <v>2029</v>
      </c>
      <c r="V7" s="430">
        <f t="shared" ca="1" si="1"/>
        <v>2030</v>
      </c>
      <c r="W7" s="430">
        <f t="shared" ca="1" si="1"/>
        <v>2031</v>
      </c>
      <c r="X7" s="430">
        <f t="shared" ca="1" si="1"/>
        <v>2032</v>
      </c>
      <c r="Y7" s="430">
        <f t="shared" ca="1" si="1"/>
        <v>2033</v>
      </c>
      <c r="Z7" s="430">
        <f t="shared" ca="1" si="1"/>
        <v>2034</v>
      </c>
      <c r="AA7" s="430">
        <f t="shared" ca="1" si="1"/>
        <v>2035</v>
      </c>
      <c r="AB7" s="430">
        <f t="shared" ca="1" si="1"/>
        <v>2036</v>
      </c>
      <c r="AC7" s="430">
        <f t="shared" ca="1" si="1"/>
        <v>2037</v>
      </c>
      <c r="AD7" s="430">
        <f t="shared" ca="1" si="1"/>
        <v>2038</v>
      </c>
      <c r="AE7" s="391"/>
      <c r="AF7" s="396"/>
    </row>
    <row r="8" spans="1:32" ht="15" customHeight="1" x14ac:dyDescent="0.25">
      <c r="A8" s="394"/>
      <c r="B8" s="391"/>
      <c r="C8" s="706" t="str">
        <f>Translation!C179</f>
        <v>Prihodki</v>
      </c>
      <c r="D8" s="703" t="str">
        <f>Translation!C183</f>
        <v>Prihodki od prodaje - koncesnina</v>
      </c>
      <c r="E8" s="703"/>
      <c r="F8" s="703"/>
      <c r="G8" s="703"/>
      <c r="H8" s="703"/>
      <c r="I8" s="703"/>
      <c r="J8" s="703"/>
      <c r="K8" s="444" t="e">
        <f>IF(K6="","",'F-Calc Subsidy'!G15)</f>
        <v>#DIV/0!</v>
      </c>
      <c r="L8" s="444" t="e">
        <f>IF(L6="","",'F-Calc Subsidy'!H15)</f>
        <v>#DIV/0!</v>
      </c>
      <c r="M8" s="444" t="e">
        <f>IF(M6="","",'F-Calc Subsidy'!I15)</f>
        <v>#DIV/0!</v>
      </c>
      <c r="N8" s="444" t="e">
        <f>IF(N6="","",'F-Calc Subsidy'!J15)</f>
        <v>#DIV/0!</v>
      </c>
      <c r="O8" s="444" t="e">
        <f>IF(O6="","",'F-Calc Subsidy'!K15)</f>
        <v>#DIV/0!</v>
      </c>
      <c r="P8" s="444" t="e">
        <f>IF(P6="","",'F-Calc Subsidy'!L15)</f>
        <v>#DIV/0!</v>
      </c>
      <c r="Q8" s="444" t="e">
        <f>IF(Q6="","",'F-Calc Subsidy'!M15)</f>
        <v>#DIV/0!</v>
      </c>
      <c r="R8" s="444" t="e">
        <f>IF(R6="","",'F-Calc Subsidy'!N15)</f>
        <v>#DIV/0!</v>
      </c>
      <c r="S8" s="444" t="e">
        <f>IF(S6="","",'F-Calc Subsidy'!O15)</f>
        <v>#DIV/0!</v>
      </c>
      <c r="T8" s="444" t="e">
        <f>IF(T6="","",'F-Calc Subsidy'!P15)</f>
        <v>#DIV/0!</v>
      </c>
      <c r="U8" s="444" t="e">
        <f>IF(U6="","",'F-Calc Subsidy'!Q15)</f>
        <v>#DIV/0!</v>
      </c>
      <c r="V8" s="444" t="e">
        <f>IF(V6="","",'F-Calc Subsidy'!R15)</f>
        <v>#DIV/0!</v>
      </c>
      <c r="W8" s="444" t="e">
        <f>IF(W6="","",'F-Calc Subsidy'!S15)</f>
        <v>#DIV/0!</v>
      </c>
      <c r="X8" s="444" t="e">
        <f>IF(X6="","",'F-Calc Subsidy'!T15)</f>
        <v>#DIV/0!</v>
      </c>
      <c r="Y8" s="444" t="e">
        <f>IF(Y6="","",'F-Calc Subsidy'!U15)</f>
        <v>#DIV/0!</v>
      </c>
      <c r="Z8" s="444" t="e">
        <f>IF(Z6="","",'F-Calc Subsidy'!V15)</f>
        <v>#DIV/0!</v>
      </c>
      <c r="AA8" s="444" t="e">
        <f>IF(AA6="","",'F-Calc Subsidy'!W15)</f>
        <v>#DIV/0!</v>
      </c>
      <c r="AB8" s="444" t="e">
        <f>IF(AB6="","",'F-Calc Subsidy'!X15)</f>
        <v>#DIV/0!</v>
      </c>
      <c r="AC8" s="444" t="e">
        <f>IF(AC6="","",'F-Calc Subsidy'!Y15)</f>
        <v>#DIV/0!</v>
      </c>
      <c r="AD8" s="444" t="e">
        <f>IF(AD6="","",'F-Calc Subsidy'!Z15)</f>
        <v>#DIV/0!</v>
      </c>
      <c r="AE8" s="392"/>
      <c r="AF8" s="396"/>
    </row>
    <row r="9" spans="1:32" ht="15" customHeight="1" x14ac:dyDescent="0.25">
      <c r="A9" s="394"/>
      <c r="B9" s="391"/>
      <c r="C9" s="706"/>
      <c r="D9" s="703" t="str">
        <f>Translation!C184</f>
        <v>Spodbude</v>
      </c>
      <c r="E9" s="703"/>
      <c r="F9" s="703"/>
      <c r="G9" s="703"/>
      <c r="H9" s="703"/>
      <c r="I9" s="703"/>
      <c r="J9" s="703"/>
      <c r="K9" s="515"/>
      <c r="L9" s="516"/>
      <c r="M9" s="516"/>
      <c r="N9" s="516"/>
      <c r="O9" s="516"/>
      <c r="P9" s="516"/>
      <c r="Q9" s="516"/>
      <c r="R9" s="516"/>
      <c r="S9" s="516"/>
      <c r="T9" s="516"/>
      <c r="U9" s="516"/>
      <c r="V9" s="516"/>
      <c r="W9" s="516"/>
      <c r="X9" s="516"/>
      <c r="Y9" s="516"/>
      <c r="Z9" s="516"/>
      <c r="AA9" s="516"/>
      <c r="AB9" s="516"/>
      <c r="AC9" s="516"/>
      <c r="AD9" s="516"/>
      <c r="AE9" s="392"/>
      <c r="AF9" s="396"/>
    </row>
    <row r="10" spans="1:32" ht="15" customHeight="1" x14ac:dyDescent="0.25">
      <c r="A10" s="394"/>
      <c r="B10" s="391"/>
      <c r="C10" s="706"/>
      <c r="D10" s="703" t="str">
        <f>Translation!C185</f>
        <v>Stroški prodanega blaga</v>
      </c>
      <c r="E10" s="703"/>
      <c r="F10" s="703"/>
      <c r="G10" s="703"/>
      <c r="H10" s="703"/>
      <c r="I10" s="703"/>
      <c r="J10" s="703"/>
      <c r="K10" s="445">
        <f>IF(K6="","",0)</f>
        <v>0</v>
      </c>
      <c r="L10" s="445">
        <f t="shared" ref="L10:AD10" si="2">IF(L6="","",0)</f>
        <v>0</v>
      </c>
      <c r="M10" s="445">
        <f t="shared" si="2"/>
        <v>0</v>
      </c>
      <c r="N10" s="445">
        <f t="shared" si="2"/>
        <v>0</v>
      </c>
      <c r="O10" s="445">
        <f t="shared" si="2"/>
        <v>0</v>
      </c>
      <c r="P10" s="445">
        <f t="shared" si="2"/>
        <v>0</v>
      </c>
      <c r="Q10" s="445">
        <f t="shared" si="2"/>
        <v>0</v>
      </c>
      <c r="R10" s="445">
        <f t="shared" si="2"/>
        <v>0</v>
      </c>
      <c r="S10" s="445">
        <f t="shared" si="2"/>
        <v>0</v>
      </c>
      <c r="T10" s="445">
        <f t="shared" si="2"/>
        <v>0</v>
      </c>
      <c r="U10" s="445">
        <f t="shared" si="2"/>
        <v>0</v>
      </c>
      <c r="V10" s="445">
        <f t="shared" si="2"/>
        <v>0</v>
      </c>
      <c r="W10" s="445">
        <f t="shared" si="2"/>
        <v>0</v>
      </c>
      <c r="X10" s="445">
        <f t="shared" si="2"/>
        <v>0</v>
      </c>
      <c r="Y10" s="445">
        <f t="shared" si="2"/>
        <v>0</v>
      </c>
      <c r="Z10" s="445">
        <f t="shared" si="2"/>
        <v>0</v>
      </c>
      <c r="AA10" s="445">
        <f t="shared" si="2"/>
        <v>0</v>
      </c>
      <c r="AB10" s="445">
        <f t="shared" si="2"/>
        <v>0</v>
      </c>
      <c r="AC10" s="445">
        <f t="shared" si="2"/>
        <v>0</v>
      </c>
      <c r="AD10" s="445">
        <f t="shared" si="2"/>
        <v>0</v>
      </c>
      <c r="AE10" s="392"/>
      <c r="AF10" s="396"/>
    </row>
    <row r="11" spans="1:32" ht="15" customHeight="1" x14ac:dyDescent="0.25">
      <c r="A11" s="394"/>
      <c r="B11" s="391"/>
      <c r="C11" s="706"/>
      <c r="D11" s="704" t="str">
        <f>Translation!C186</f>
        <v>EBITDA</v>
      </c>
      <c r="E11" s="704"/>
      <c r="F11" s="704"/>
      <c r="G11" s="704"/>
      <c r="H11" s="704"/>
      <c r="I11" s="704"/>
      <c r="J11" s="704"/>
      <c r="K11" s="446" t="e">
        <f>IF(K6="","",K8+K9-K10)</f>
        <v>#DIV/0!</v>
      </c>
      <c r="L11" s="446" t="e">
        <f t="shared" ref="L11:AD11" si="3">IF(L6="","",L8+L9-L10)</f>
        <v>#DIV/0!</v>
      </c>
      <c r="M11" s="446" t="e">
        <f t="shared" si="3"/>
        <v>#DIV/0!</v>
      </c>
      <c r="N11" s="446" t="e">
        <f t="shared" si="3"/>
        <v>#DIV/0!</v>
      </c>
      <c r="O11" s="446" t="e">
        <f t="shared" si="3"/>
        <v>#DIV/0!</v>
      </c>
      <c r="P11" s="446" t="e">
        <f t="shared" si="3"/>
        <v>#DIV/0!</v>
      </c>
      <c r="Q11" s="446" t="e">
        <f t="shared" si="3"/>
        <v>#DIV/0!</v>
      </c>
      <c r="R11" s="446" t="e">
        <f t="shared" si="3"/>
        <v>#DIV/0!</v>
      </c>
      <c r="S11" s="446" t="e">
        <f t="shared" si="3"/>
        <v>#DIV/0!</v>
      </c>
      <c r="T11" s="446" t="e">
        <f t="shared" si="3"/>
        <v>#DIV/0!</v>
      </c>
      <c r="U11" s="446" t="e">
        <f t="shared" si="3"/>
        <v>#DIV/0!</v>
      </c>
      <c r="V11" s="446" t="e">
        <f t="shared" si="3"/>
        <v>#DIV/0!</v>
      </c>
      <c r="W11" s="446" t="e">
        <f t="shared" si="3"/>
        <v>#DIV/0!</v>
      </c>
      <c r="X11" s="446" t="e">
        <f t="shared" si="3"/>
        <v>#DIV/0!</v>
      </c>
      <c r="Y11" s="446" t="e">
        <f t="shared" si="3"/>
        <v>#DIV/0!</v>
      </c>
      <c r="Z11" s="446" t="e">
        <f t="shared" si="3"/>
        <v>#DIV/0!</v>
      </c>
      <c r="AA11" s="446" t="e">
        <f t="shared" si="3"/>
        <v>#DIV/0!</v>
      </c>
      <c r="AB11" s="446" t="e">
        <f t="shared" si="3"/>
        <v>#DIV/0!</v>
      </c>
      <c r="AC11" s="446" t="e">
        <f t="shared" si="3"/>
        <v>#DIV/0!</v>
      </c>
      <c r="AD11" s="446" t="e">
        <f t="shared" si="3"/>
        <v>#DIV/0!</v>
      </c>
      <c r="AE11" s="392"/>
      <c r="AF11" s="396"/>
    </row>
    <row r="12" spans="1:32" ht="15" customHeight="1" x14ac:dyDescent="0.25">
      <c r="A12" s="394"/>
      <c r="B12" s="391"/>
      <c r="C12" s="707" t="str">
        <f>Translation!C180</f>
        <v>Odhodki</v>
      </c>
      <c r="D12" s="703" t="str">
        <f>Translation!C187</f>
        <v>Administrativni in pisarniški stroški, stroški vzdrževanja in zavarovanja</v>
      </c>
      <c r="E12" s="703"/>
      <c r="F12" s="703"/>
      <c r="G12" s="703"/>
      <c r="H12" s="703"/>
      <c r="I12" s="703"/>
      <c r="J12" s="703"/>
      <c r="K12" s="515"/>
      <c r="L12" s="516"/>
      <c r="M12" s="516"/>
      <c r="N12" s="516"/>
      <c r="O12" s="516"/>
      <c r="P12" s="516"/>
      <c r="Q12" s="516"/>
      <c r="R12" s="516"/>
      <c r="S12" s="516"/>
      <c r="T12" s="516"/>
      <c r="U12" s="516"/>
      <c r="V12" s="516"/>
      <c r="W12" s="516"/>
      <c r="X12" s="516"/>
      <c r="Y12" s="516"/>
      <c r="Z12" s="516"/>
      <c r="AA12" s="516"/>
      <c r="AB12" s="516"/>
      <c r="AC12" s="516"/>
      <c r="AD12" s="516"/>
      <c r="AE12" s="392"/>
      <c r="AF12" s="396"/>
    </row>
    <row r="13" spans="1:32" ht="15" customHeight="1" x14ac:dyDescent="0.25">
      <c r="A13" s="394"/>
      <c r="B13" s="391"/>
      <c r="C13" s="708"/>
      <c r="D13" s="703" t="str">
        <f>Translation!C188</f>
        <v>Normalizacija stroškov po stopnji inflacije</v>
      </c>
      <c r="E13" s="703"/>
      <c r="F13" s="703"/>
      <c r="G13" s="703"/>
      <c r="H13" s="703"/>
      <c r="I13" s="703"/>
      <c r="J13" s="703"/>
      <c r="K13" s="447">
        <v>1</v>
      </c>
      <c r="L13" s="443">
        <f>IF(L6="","",$K$13*(1+'5'!$I$18/100)^K6)</f>
        <v>1.03</v>
      </c>
      <c r="M13" s="443">
        <f>IF(M6="","",$K$13*(1+'5'!$I$18/100)^L6)</f>
        <v>1.0609</v>
      </c>
      <c r="N13" s="443">
        <f>IF(N6="","",$K$13*(1+'5'!$I$18/100)^M6)</f>
        <v>1.092727</v>
      </c>
      <c r="O13" s="443">
        <f>IF(O6="","",$K$13*(1+'5'!$I$18/100)^N6)</f>
        <v>1.1255088099999999</v>
      </c>
      <c r="P13" s="443">
        <f>IF(P6="","",$K$13*(1+'5'!$I$18/100)^O6)</f>
        <v>1.1592740742999998</v>
      </c>
      <c r="Q13" s="443">
        <f>IF(Q6="","",$K$13*(1+'5'!$I$18/100)^P6)</f>
        <v>1.1940522965289999</v>
      </c>
      <c r="R13" s="443">
        <f>IF(R6="","",$K$13*(1+'5'!$I$18/100)^Q6)</f>
        <v>1.22987386542487</v>
      </c>
      <c r="S13" s="443">
        <f>IF(S6="","",$K$13*(1+'5'!$I$18/100)^R6)</f>
        <v>1.2667700813876159</v>
      </c>
      <c r="T13" s="443">
        <f>IF(T6="","",$K$13*(1+'5'!$I$18/100)^S6)</f>
        <v>1.3047731838292445</v>
      </c>
      <c r="U13" s="443">
        <f>IF(U6="","",$K$13*(1+'5'!$I$18/100)^T6)</f>
        <v>1.3439163793441218</v>
      </c>
      <c r="V13" s="443">
        <f>IF(V6="","",$K$13*(1+'5'!$I$18/100)^U6)</f>
        <v>1.3842338707244455</v>
      </c>
      <c r="W13" s="443">
        <f>IF(W6="","",$K$13*(1+'5'!$I$18/100)^V6)</f>
        <v>1.4257608868461786</v>
      </c>
      <c r="X13" s="443">
        <f>IF(X6="","",$K$13*(1+'5'!$I$18/100)^W6)</f>
        <v>1.4685337134515639</v>
      </c>
      <c r="Y13" s="443">
        <f>IF(Y6="","",$K$13*(1+'5'!$I$18/100)^X6)</f>
        <v>1.512589724855111</v>
      </c>
      <c r="Z13" s="443">
        <f>IF(Z6="","",$K$13*(1+'5'!$I$18/100)^Y6)</f>
        <v>1.5579674166007644</v>
      </c>
      <c r="AA13" s="443">
        <f>IF(AA6="","",$K$13*(1+'5'!$I$18/100)^Z6)</f>
        <v>1.6047064390987871</v>
      </c>
      <c r="AB13" s="443">
        <f>IF(AB6="","",$K$13*(1+'5'!$I$18/100)^AA6)</f>
        <v>1.6528476322717507</v>
      </c>
      <c r="AC13" s="443">
        <f>IF(AC6="","",$K$13*(1+'5'!$I$18/100)^AB6)</f>
        <v>1.7024330612399032</v>
      </c>
      <c r="AD13" s="443">
        <f>IF(AD6="","",$K$13*(1+'5'!$I$18/100)^AC6)</f>
        <v>1.7535060530771003</v>
      </c>
      <c r="AE13" s="392"/>
      <c r="AF13" s="396"/>
    </row>
    <row r="14" spans="1:32" ht="15" customHeight="1" x14ac:dyDescent="0.25">
      <c r="A14" s="394"/>
      <c r="B14" s="391"/>
      <c r="C14" s="708"/>
      <c r="D14" s="703" t="str">
        <f>Translation!C190</f>
        <v xml:space="preserve">Inflaciji prilagojeni normalizirani stroški </v>
      </c>
      <c r="E14" s="703"/>
      <c r="F14" s="703"/>
      <c r="G14" s="703"/>
      <c r="H14" s="703"/>
      <c r="I14" s="703"/>
      <c r="J14" s="703"/>
      <c r="K14" s="433">
        <f>IF(K6="","",K12*K13)</f>
        <v>0</v>
      </c>
      <c r="L14" s="433">
        <f t="shared" ref="L14:AD14" si="4">IF(L6="","",L12*L13)</f>
        <v>0</v>
      </c>
      <c r="M14" s="433">
        <f t="shared" si="4"/>
        <v>0</v>
      </c>
      <c r="N14" s="433">
        <f t="shared" si="4"/>
        <v>0</v>
      </c>
      <c r="O14" s="433">
        <f t="shared" si="4"/>
        <v>0</v>
      </c>
      <c r="P14" s="433">
        <f t="shared" si="4"/>
        <v>0</v>
      </c>
      <c r="Q14" s="433">
        <f t="shared" si="4"/>
        <v>0</v>
      </c>
      <c r="R14" s="433">
        <f t="shared" si="4"/>
        <v>0</v>
      </c>
      <c r="S14" s="433">
        <f t="shared" si="4"/>
        <v>0</v>
      </c>
      <c r="T14" s="433">
        <f t="shared" si="4"/>
        <v>0</v>
      </c>
      <c r="U14" s="433">
        <f t="shared" si="4"/>
        <v>0</v>
      </c>
      <c r="V14" s="433">
        <f t="shared" si="4"/>
        <v>0</v>
      </c>
      <c r="W14" s="433">
        <f t="shared" si="4"/>
        <v>0</v>
      </c>
      <c r="X14" s="433">
        <f t="shared" si="4"/>
        <v>0</v>
      </c>
      <c r="Y14" s="433">
        <f t="shared" si="4"/>
        <v>0</v>
      </c>
      <c r="Z14" s="433">
        <f t="shared" si="4"/>
        <v>0</v>
      </c>
      <c r="AA14" s="433">
        <f t="shared" si="4"/>
        <v>0</v>
      </c>
      <c r="AB14" s="433">
        <f t="shared" si="4"/>
        <v>0</v>
      </c>
      <c r="AC14" s="433">
        <f t="shared" si="4"/>
        <v>0</v>
      </c>
      <c r="AD14" s="433">
        <f t="shared" si="4"/>
        <v>0</v>
      </c>
      <c r="AE14" s="392"/>
      <c r="AF14" s="396"/>
    </row>
    <row r="15" spans="1:32" ht="15" customHeight="1" x14ac:dyDescent="0.25">
      <c r="A15" s="394"/>
      <c r="B15" s="391"/>
      <c r="C15" s="708"/>
      <c r="D15" s="703" t="str">
        <f>Translation!C189</f>
        <v>Amortizacija</v>
      </c>
      <c r="E15" s="703"/>
      <c r="F15" s="703"/>
      <c r="G15" s="703"/>
      <c r="H15" s="703"/>
      <c r="I15" s="703"/>
      <c r="J15" s="703"/>
      <c r="K15" s="433">
        <f>('F-Calc Mortgage loan'!E2+'F-Calc Mortgage loan'!E3+'F-Calc Mortgage loan'!E4)/'5'!I16</f>
        <v>0</v>
      </c>
      <c r="L15" s="431">
        <f>IF(L6="","",K15)</f>
        <v>0</v>
      </c>
      <c r="M15" s="431">
        <f t="shared" ref="M15:AD15" si="5">IF(M6="","",L15)</f>
        <v>0</v>
      </c>
      <c r="N15" s="431">
        <f t="shared" si="5"/>
        <v>0</v>
      </c>
      <c r="O15" s="431">
        <f t="shared" si="5"/>
        <v>0</v>
      </c>
      <c r="P15" s="431">
        <f t="shared" si="5"/>
        <v>0</v>
      </c>
      <c r="Q15" s="431">
        <f t="shared" si="5"/>
        <v>0</v>
      </c>
      <c r="R15" s="431">
        <f t="shared" si="5"/>
        <v>0</v>
      </c>
      <c r="S15" s="431">
        <f t="shared" si="5"/>
        <v>0</v>
      </c>
      <c r="T15" s="431">
        <f t="shared" si="5"/>
        <v>0</v>
      </c>
      <c r="U15" s="431">
        <f t="shared" si="5"/>
        <v>0</v>
      </c>
      <c r="V15" s="431">
        <f t="shared" si="5"/>
        <v>0</v>
      </c>
      <c r="W15" s="431">
        <f t="shared" si="5"/>
        <v>0</v>
      </c>
      <c r="X15" s="431">
        <f t="shared" si="5"/>
        <v>0</v>
      </c>
      <c r="Y15" s="431">
        <f t="shared" si="5"/>
        <v>0</v>
      </c>
      <c r="Z15" s="431">
        <f t="shared" si="5"/>
        <v>0</v>
      </c>
      <c r="AA15" s="431">
        <f t="shared" si="5"/>
        <v>0</v>
      </c>
      <c r="AB15" s="431">
        <f t="shared" si="5"/>
        <v>0</v>
      </c>
      <c r="AC15" s="431">
        <f t="shared" si="5"/>
        <v>0</v>
      </c>
      <c r="AD15" s="431">
        <f t="shared" si="5"/>
        <v>0</v>
      </c>
      <c r="AE15" s="392"/>
      <c r="AF15" s="396"/>
    </row>
    <row r="16" spans="1:32" ht="15" customHeight="1" x14ac:dyDescent="0.25">
      <c r="A16" s="394"/>
      <c r="B16" s="391"/>
      <c r="C16" s="708"/>
      <c r="D16" s="703" t="str">
        <f>Translation!C191</f>
        <v>Skupaj poslovni odhodki</v>
      </c>
      <c r="E16" s="703"/>
      <c r="F16" s="703"/>
      <c r="G16" s="703"/>
      <c r="H16" s="703"/>
      <c r="I16" s="703"/>
      <c r="J16" s="703"/>
      <c r="K16" s="433">
        <f>IF(K6="","",SUM(K14:K15))</f>
        <v>0</v>
      </c>
      <c r="L16" s="433">
        <f t="shared" ref="L16:AD16" si="6">IF(L6="","",SUM(L14:L15))</f>
        <v>0</v>
      </c>
      <c r="M16" s="433">
        <f t="shared" si="6"/>
        <v>0</v>
      </c>
      <c r="N16" s="433">
        <f t="shared" si="6"/>
        <v>0</v>
      </c>
      <c r="O16" s="433">
        <f t="shared" si="6"/>
        <v>0</v>
      </c>
      <c r="P16" s="433">
        <f t="shared" si="6"/>
        <v>0</v>
      </c>
      <c r="Q16" s="433">
        <f t="shared" si="6"/>
        <v>0</v>
      </c>
      <c r="R16" s="433">
        <f t="shared" si="6"/>
        <v>0</v>
      </c>
      <c r="S16" s="433">
        <f t="shared" si="6"/>
        <v>0</v>
      </c>
      <c r="T16" s="433">
        <f t="shared" si="6"/>
        <v>0</v>
      </c>
      <c r="U16" s="433">
        <f t="shared" si="6"/>
        <v>0</v>
      </c>
      <c r="V16" s="433">
        <f t="shared" si="6"/>
        <v>0</v>
      </c>
      <c r="W16" s="433">
        <f t="shared" si="6"/>
        <v>0</v>
      </c>
      <c r="X16" s="433">
        <f t="shared" si="6"/>
        <v>0</v>
      </c>
      <c r="Y16" s="433">
        <f t="shared" si="6"/>
        <v>0</v>
      </c>
      <c r="Z16" s="433">
        <f t="shared" si="6"/>
        <v>0</v>
      </c>
      <c r="AA16" s="433">
        <f t="shared" si="6"/>
        <v>0</v>
      </c>
      <c r="AB16" s="433">
        <f t="shared" si="6"/>
        <v>0</v>
      </c>
      <c r="AC16" s="433">
        <f t="shared" si="6"/>
        <v>0</v>
      </c>
      <c r="AD16" s="433">
        <f t="shared" si="6"/>
        <v>0</v>
      </c>
      <c r="AE16" s="392"/>
      <c r="AF16" s="396"/>
    </row>
    <row r="17" spans="1:32" ht="15" customHeight="1" x14ac:dyDescent="0.25">
      <c r="A17" s="394"/>
      <c r="B17" s="391"/>
      <c r="C17" s="708"/>
      <c r="D17" s="704" t="str">
        <f>Translation!C192</f>
        <v>Dobiček poslovanja</v>
      </c>
      <c r="E17" s="704"/>
      <c r="F17" s="704"/>
      <c r="G17" s="704"/>
      <c r="H17" s="704"/>
      <c r="I17" s="704"/>
      <c r="J17" s="704"/>
      <c r="K17" s="448" t="e">
        <f>IF(K6="","",K11-K16)</f>
        <v>#DIV/0!</v>
      </c>
      <c r="L17" s="448" t="e">
        <f t="shared" ref="L17:AD17" si="7">IF(L6="","",L11-L16)</f>
        <v>#DIV/0!</v>
      </c>
      <c r="M17" s="448" t="e">
        <f t="shared" si="7"/>
        <v>#DIV/0!</v>
      </c>
      <c r="N17" s="448" t="e">
        <f t="shared" si="7"/>
        <v>#DIV/0!</v>
      </c>
      <c r="O17" s="448" t="e">
        <f t="shared" si="7"/>
        <v>#DIV/0!</v>
      </c>
      <c r="P17" s="448" t="e">
        <f t="shared" si="7"/>
        <v>#DIV/0!</v>
      </c>
      <c r="Q17" s="448" t="e">
        <f t="shared" si="7"/>
        <v>#DIV/0!</v>
      </c>
      <c r="R17" s="448" t="e">
        <f t="shared" si="7"/>
        <v>#DIV/0!</v>
      </c>
      <c r="S17" s="448" t="e">
        <f t="shared" si="7"/>
        <v>#DIV/0!</v>
      </c>
      <c r="T17" s="448" t="e">
        <f t="shared" si="7"/>
        <v>#DIV/0!</v>
      </c>
      <c r="U17" s="448" t="e">
        <f t="shared" si="7"/>
        <v>#DIV/0!</v>
      </c>
      <c r="V17" s="448" t="e">
        <f t="shared" si="7"/>
        <v>#DIV/0!</v>
      </c>
      <c r="W17" s="448" t="e">
        <f t="shared" si="7"/>
        <v>#DIV/0!</v>
      </c>
      <c r="X17" s="448" t="e">
        <f t="shared" si="7"/>
        <v>#DIV/0!</v>
      </c>
      <c r="Y17" s="448" t="e">
        <f t="shared" si="7"/>
        <v>#DIV/0!</v>
      </c>
      <c r="Z17" s="448" t="e">
        <f t="shared" si="7"/>
        <v>#DIV/0!</v>
      </c>
      <c r="AA17" s="448" t="e">
        <f t="shared" si="7"/>
        <v>#DIV/0!</v>
      </c>
      <c r="AB17" s="448" t="e">
        <f t="shared" si="7"/>
        <v>#DIV/0!</v>
      </c>
      <c r="AC17" s="448" t="e">
        <f t="shared" si="7"/>
        <v>#DIV/0!</v>
      </c>
      <c r="AD17" s="448" t="e">
        <f t="shared" si="7"/>
        <v>#DIV/0!</v>
      </c>
      <c r="AE17" s="391"/>
      <c r="AF17" s="396"/>
    </row>
    <row r="18" spans="1:32" ht="15" customHeight="1" x14ac:dyDescent="0.25">
      <c r="A18" s="394"/>
      <c r="B18" s="391"/>
      <c r="C18" s="708"/>
      <c r="D18" s="703" t="str">
        <f>Translation!C193</f>
        <v xml:space="preserve">Dobiček, ki ni povezan s poslovanjem </v>
      </c>
      <c r="E18" s="703"/>
      <c r="F18" s="703"/>
      <c r="G18" s="703"/>
      <c r="H18" s="703"/>
      <c r="I18" s="703"/>
      <c r="J18" s="703"/>
      <c r="K18" s="433">
        <f>IF(K6="","",0)</f>
        <v>0</v>
      </c>
      <c r="L18" s="433">
        <f t="shared" ref="L18:AD18" si="8">IF(L6="","",0)</f>
        <v>0</v>
      </c>
      <c r="M18" s="433">
        <f t="shared" si="8"/>
        <v>0</v>
      </c>
      <c r="N18" s="433">
        <f t="shared" si="8"/>
        <v>0</v>
      </c>
      <c r="O18" s="433">
        <f t="shared" si="8"/>
        <v>0</v>
      </c>
      <c r="P18" s="433">
        <f t="shared" si="8"/>
        <v>0</v>
      </c>
      <c r="Q18" s="433">
        <f t="shared" si="8"/>
        <v>0</v>
      </c>
      <c r="R18" s="433">
        <f t="shared" si="8"/>
        <v>0</v>
      </c>
      <c r="S18" s="433">
        <f t="shared" si="8"/>
        <v>0</v>
      </c>
      <c r="T18" s="433">
        <f t="shared" si="8"/>
        <v>0</v>
      </c>
      <c r="U18" s="433">
        <f t="shared" si="8"/>
        <v>0</v>
      </c>
      <c r="V18" s="433">
        <f t="shared" si="8"/>
        <v>0</v>
      </c>
      <c r="W18" s="433">
        <f t="shared" si="8"/>
        <v>0</v>
      </c>
      <c r="X18" s="433">
        <f t="shared" si="8"/>
        <v>0</v>
      </c>
      <c r="Y18" s="433">
        <f t="shared" si="8"/>
        <v>0</v>
      </c>
      <c r="Z18" s="433">
        <f t="shared" si="8"/>
        <v>0</v>
      </c>
      <c r="AA18" s="433">
        <f t="shared" si="8"/>
        <v>0</v>
      </c>
      <c r="AB18" s="433">
        <f t="shared" si="8"/>
        <v>0</v>
      </c>
      <c r="AC18" s="433">
        <f t="shared" si="8"/>
        <v>0</v>
      </c>
      <c r="AD18" s="433">
        <f t="shared" si="8"/>
        <v>0</v>
      </c>
      <c r="AE18" s="391"/>
      <c r="AF18" s="396"/>
    </row>
    <row r="19" spans="1:32" ht="15" customHeight="1" x14ac:dyDescent="0.25">
      <c r="A19" s="394"/>
      <c r="B19" s="391"/>
      <c r="C19" s="708"/>
      <c r="D19" s="704" t="str">
        <f>Translation!C194</f>
        <v>EBIT</v>
      </c>
      <c r="E19" s="704"/>
      <c r="F19" s="704"/>
      <c r="G19" s="704"/>
      <c r="H19" s="704"/>
      <c r="I19" s="704"/>
      <c r="J19" s="704"/>
      <c r="K19" s="434" t="e">
        <f>IF(K6="","",K17+K18)</f>
        <v>#DIV/0!</v>
      </c>
      <c r="L19" s="434" t="e">
        <f t="shared" ref="L19:AD19" si="9">IF(L6="","",L17+L18)</f>
        <v>#DIV/0!</v>
      </c>
      <c r="M19" s="434" t="e">
        <f t="shared" si="9"/>
        <v>#DIV/0!</v>
      </c>
      <c r="N19" s="434" t="e">
        <f t="shared" si="9"/>
        <v>#DIV/0!</v>
      </c>
      <c r="O19" s="434" t="e">
        <f t="shared" si="9"/>
        <v>#DIV/0!</v>
      </c>
      <c r="P19" s="434" t="e">
        <f t="shared" si="9"/>
        <v>#DIV/0!</v>
      </c>
      <c r="Q19" s="434" t="e">
        <f t="shared" si="9"/>
        <v>#DIV/0!</v>
      </c>
      <c r="R19" s="434" t="e">
        <f t="shared" si="9"/>
        <v>#DIV/0!</v>
      </c>
      <c r="S19" s="434" t="e">
        <f t="shared" si="9"/>
        <v>#DIV/0!</v>
      </c>
      <c r="T19" s="434" t="e">
        <f t="shared" si="9"/>
        <v>#DIV/0!</v>
      </c>
      <c r="U19" s="434" t="e">
        <f t="shared" si="9"/>
        <v>#DIV/0!</v>
      </c>
      <c r="V19" s="434" t="e">
        <f t="shared" si="9"/>
        <v>#DIV/0!</v>
      </c>
      <c r="W19" s="434" t="e">
        <f t="shared" si="9"/>
        <v>#DIV/0!</v>
      </c>
      <c r="X19" s="434" t="e">
        <f t="shared" si="9"/>
        <v>#DIV/0!</v>
      </c>
      <c r="Y19" s="434" t="e">
        <f t="shared" si="9"/>
        <v>#DIV/0!</v>
      </c>
      <c r="Z19" s="434" t="e">
        <f t="shared" si="9"/>
        <v>#DIV/0!</v>
      </c>
      <c r="AA19" s="434" t="e">
        <f t="shared" si="9"/>
        <v>#DIV/0!</v>
      </c>
      <c r="AB19" s="434" t="e">
        <f t="shared" si="9"/>
        <v>#DIV/0!</v>
      </c>
      <c r="AC19" s="434" t="e">
        <f t="shared" si="9"/>
        <v>#DIV/0!</v>
      </c>
      <c r="AD19" s="434" t="e">
        <f t="shared" si="9"/>
        <v>#DIV/0!</v>
      </c>
      <c r="AE19" s="391"/>
      <c r="AF19" s="396"/>
    </row>
    <row r="20" spans="1:32" ht="15" customHeight="1" x14ac:dyDescent="0.25">
      <c r="A20" s="394"/>
      <c r="B20" s="391"/>
      <c r="C20" s="708"/>
      <c r="D20" s="703" t="str">
        <f>Translation!C195</f>
        <v>Finančni prihodek</v>
      </c>
      <c r="E20" s="703"/>
      <c r="F20" s="703"/>
      <c r="G20" s="703"/>
      <c r="H20" s="703"/>
      <c r="I20" s="703"/>
      <c r="J20" s="703"/>
      <c r="K20" s="433">
        <f>IF(K6="","",0)</f>
        <v>0</v>
      </c>
      <c r="L20" s="433">
        <f t="shared" ref="L20:AD20" si="10">IF(L6="","",0)</f>
        <v>0</v>
      </c>
      <c r="M20" s="433">
        <f t="shared" si="10"/>
        <v>0</v>
      </c>
      <c r="N20" s="433">
        <f t="shared" si="10"/>
        <v>0</v>
      </c>
      <c r="O20" s="433">
        <f t="shared" si="10"/>
        <v>0</v>
      </c>
      <c r="P20" s="433">
        <f t="shared" si="10"/>
        <v>0</v>
      </c>
      <c r="Q20" s="433">
        <f t="shared" si="10"/>
        <v>0</v>
      </c>
      <c r="R20" s="433">
        <f t="shared" si="10"/>
        <v>0</v>
      </c>
      <c r="S20" s="433">
        <f t="shared" si="10"/>
        <v>0</v>
      </c>
      <c r="T20" s="433">
        <f t="shared" si="10"/>
        <v>0</v>
      </c>
      <c r="U20" s="433">
        <f t="shared" si="10"/>
        <v>0</v>
      </c>
      <c r="V20" s="433">
        <f t="shared" si="10"/>
        <v>0</v>
      </c>
      <c r="W20" s="433">
        <f t="shared" si="10"/>
        <v>0</v>
      </c>
      <c r="X20" s="433">
        <f t="shared" si="10"/>
        <v>0</v>
      </c>
      <c r="Y20" s="433">
        <f t="shared" si="10"/>
        <v>0</v>
      </c>
      <c r="Z20" s="433">
        <f t="shared" si="10"/>
        <v>0</v>
      </c>
      <c r="AA20" s="433">
        <f t="shared" si="10"/>
        <v>0</v>
      </c>
      <c r="AB20" s="433">
        <f t="shared" si="10"/>
        <v>0</v>
      </c>
      <c r="AC20" s="433">
        <f t="shared" si="10"/>
        <v>0</v>
      </c>
      <c r="AD20" s="433">
        <f t="shared" si="10"/>
        <v>0</v>
      </c>
      <c r="AE20" s="391"/>
      <c r="AF20" s="396"/>
    </row>
    <row r="21" spans="1:32" ht="15" customHeight="1" x14ac:dyDescent="0.25">
      <c r="A21" s="394"/>
      <c r="B21" s="391"/>
      <c r="C21" s="708"/>
      <c r="D21" s="704" t="str">
        <f>Translation!C196</f>
        <v>IBIE</v>
      </c>
      <c r="E21" s="704"/>
      <c r="F21" s="704"/>
      <c r="G21" s="704"/>
      <c r="H21" s="704"/>
      <c r="I21" s="704"/>
      <c r="J21" s="704"/>
      <c r="K21" s="434" t="e">
        <f>IF(K6="","",K20+K19)</f>
        <v>#DIV/0!</v>
      </c>
      <c r="L21" s="434" t="e">
        <f t="shared" ref="L21:AD21" si="11">IF(L6="","",L20+L19)</f>
        <v>#DIV/0!</v>
      </c>
      <c r="M21" s="434" t="e">
        <f t="shared" si="11"/>
        <v>#DIV/0!</v>
      </c>
      <c r="N21" s="434" t="e">
        <f t="shared" si="11"/>
        <v>#DIV/0!</v>
      </c>
      <c r="O21" s="434" t="e">
        <f t="shared" si="11"/>
        <v>#DIV/0!</v>
      </c>
      <c r="P21" s="434" t="e">
        <f t="shared" si="11"/>
        <v>#DIV/0!</v>
      </c>
      <c r="Q21" s="434" t="e">
        <f t="shared" si="11"/>
        <v>#DIV/0!</v>
      </c>
      <c r="R21" s="434" t="e">
        <f t="shared" si="11"/>
        <v>#DIV/0!</v>
      </c>
      <c r="S21" s="434" t="e">
        <f t="shared" si="11"/>
        <v>#DIV/0!</v>
      </c>
      <c r="T21" s="434" t="e">
        <f t="shared" si="11"/>
        <v>#DIV/0!</v>
      </c>
      <c r="U21" s="434" t="e">
        <f t="shared" si="11"/>
        <v>#DIV/0!</v>
      </c>
      <c r="V21" s="434" t="e">
        <f t="shared" si="11"/>
        <v>#DIV/0!</v>
      </c>
      <c r="W21" s="434" t="e">
        <f t="shared" si="11"/>
        <v>#DIV/0!</v>
      </c>
      <c r="X21" s="434" t="e">
        <f t="shared" si="11"/>
        <v>#DIV/0!</v>
      </c>
      <c r="Y21" s="434" t="e">
        <f t="shared" si="11"/>
        <v>#DIV/0!</v>
      </c>
      <c r="Z21" s="434" t="e">
        <f t="shared" si="11"/>
        <v>#DIV/0!</v>
      </c>
      <c r="AA21" s="434" t="e">
        <f t="shared" si="11"/>
        <v>#DIV/0!</v>
      </c>
      <c r="AB21" s="434" t="e">
        <f t="shared" si="11"/>
        <v>#DIV/0!</v>
      </c>
      <c r="AC21" s="434" t="e">
        <f t="shared" si="11"/>
        <v>#DIV/0!</v>
      </c>
      <c r="AD21" s="434" t="e">
        <f t="shared" si="11"/>
        <v>#DIV/0!</v>
      </c>
      <c r="AE21" s="391"/>
      <c r="AF21" s="396"/>
    </row>
    <row r="22" spans="1:32" ht="15" customHeight="1" x14ac:dyDescent="0.25">
      <c r="A22" s="394"/>
      <c r="B22" s="391"/>
      <c r="C22" s="708"/>
      <c r="D22" s="703" t="str">
        <f>Translation!C197</f>
        <v>Odbitni odhodki za obresti</v>
      </c>
      <c r="E22" s="703"/>
      <c r="F22" s="703"/>
      <c r="G22" s="703"/>
      <c r="H22" s="703"/>
      <c r="I22" s="703"/>
      <c r="J22" s="703"/>
      <c r="K22" s="433" t="e">
        <f>IF(K6="","",Parameters!I115)</f>
        <v>#DIV/0!</v>
      </c>
      <c r="L22" s="433" t="e">
        <f>IF(L6="","",Parameters!J115)</f>
        <v>#DIV/0!</v>
      </c>
      <c r="M22" s="433" t="e">
        <f>IF(M6="","",Parameters!K115)</f>
        <v>#DIV/0!</v>
      </c>
      <c r="N22" s="433" t="e">
        <f>IF(N6="","",Parameters!L115)</f>
        <v>#DIV/0!</v>
      </c>
      <c r="O22" s="433" t="e">
        <f>IF(O6="","",Parameters!M115)</f>
        <v>#DIV/0!</v>
      </c>
      <c r="P22" s="433" t="e">
        <f>IF(P6="","",Parameters!N115)</f>
        <v>#DIV/0!</v>
      </c>
      <c r="Q22" s="433" t="e">
        <f>IF(Q6="","",Parameters!O115)</f>
        <v>#DIV/0!</v>
      </c>
      <c r="R22" s="433" t="e">
        <f>IF(R6="","",Parameters!P115)</f>
        <v>#DIV/0!</v>
      </c>
      <c r="S22" s="433" t="e">
        <f>IF(S6="","",Parameters!Q115)</f>
        <v>#DIV/0!</v>
      </c>
      <c r="T22" s="433" t="e">
        <f>IF(T6="","",Parameters!R115)</f>
        <v>#DIV/0!</v>
      </c>
      <c r="U22" s="433" t="e">
        <f>IF(U6="","",Parameters!S115)</f>
        <v>#DIV/0!</v>
      </c>
      <c r="V22" s="433" t="e">
        <f>IF(V6="","",Parameters!T115)</f>
        <v>#DIV/0!</v>
      </c>
      <c r="W22" s="433" t="e">
        <f>IF(W6="","",Parameters!U115)</f>
        <v>#DIV/0!</v>
      </c>
      <c r="X22" s="433" t="e">
        <f>IF(X6="","",Parameters!V115)</f>
        <v>#DIV/0!</v>
      </c>
      <c r="Y22" s="433" t="e">
        <f>IF(Y6="","",Parameters!W115)</f>
        <v>#DIV/0!</v>
      </c>
      <c r="Z22" s="433" t="e">
        <f>IF(Z6="","",Parameters!X115)</f>
        <v>#DIV/0!</v>
      </c>
      <c r="AA22" s="433" t="e">
        <f>IF(AA6="","",Parameters!Y115)</f>
        <v>#DIV/0!</v>
      </c>
      <c r="AB22" s="433" t="e">
        <f>IF(AB6="","",Parameters!Z115)</f>
        <v>#DIV/0!</v>
      </c>
      <c r="AC22" s="433" t="e">
        <f>IF(AC6="","",Parameters!AA115)</f>
        <v>#DIV/0!</v>
      </c>
      <c r="AD22" s="433" t="e">
        <f>IF(AD6="","",Parameters!AB115)</f>
        <v>#DIV/0!</v>
      </c>
      <c r="AE22" s="391"/>
      <c r="AF22" s="396"/>
    </row>
    <row r="23" spans="1:32" ht="15" customHeight="1" x14ac:dyDescent="0.25">
      <c r="A23" s="394"/>
      <c r="B23" s="391"/>
      <c r="C23" s="708"/>
      <c r="D23" s="704" t="str">
        <f>Translation!C198</f>
        <v>EBT</v>
      </c>
      <c r="E23" s="704"/>
      <c r="F23" s="704"/>
      <c r="G23" s="704"/>
      <c r="H23" s="704"/>
      <c r="I23" s="704"/>
      <c r="J23" s="704"/>
      <c r="K23" s="434" t="e">
        <f>IF(K6="","",K21-K22)</f>
        <v>#DIV/0!</v>
      </c>
      <c r="L23" s="434" t="e">
        <f t="shared" ref="L23:AD23" si="12">IF(L6="","",L21-L22)</f>
        <v>#DIV/0!</v>
      </c>
      <c r="M23" s="434" t="e">
        <f t="shared" si="12"/>
        <v>#DIV/0!</v>
      </c>
      <c r="N23" s="434" t="e">
        <f t="shared" si="12"/>
        <v>#DIV/0!</v>
      </c>
      <c r="O23" s="434" t="e">
        <f t="shared" si="12"/>
        <v>#DIV/0!</v>
      </c>
      <c r="P23" s="434" t="e">
        <f t="shared" si="12"/>
        <v>#DIV/0!</v>
      </c>
      <c r="Q23" s="434" t="e">
        <f t="shared" si="12"/>
        <v>#DIV/0!</v>
      </c>
      <c r="R23" s="434" t="e">
        <f t="shared" si="12"/>
        <v>#DIV/0!</v>
      </c>
      <c r="S23" s="434" t="e">
        <f t="shared" si="12"/>
        <v>#DIV/0!</v>
      </c>
      <c r="T23" s="434" t="e">
        <f t="shared" si="12"/>
        <v>#DIV/0!</v>
      </c>
      <c r="U23" s="434" t="e">
        <f t="shared" si="12"/>
        <v>#DIV/0!</v>
      </c>
      <c r="V23" s="434" t="e">
        <f t="shared" si="12"/>
        <v>#DIV/0!</v>
      </c>
      <c r="W23" s="434" t="e">
        <f t="shared" si="12"/>
        <v>#DIV/0!</v>
      </c>
      <c r="X23" s="434" t="e">
        <f t="shared" si="12"/>
        <v>#DIV/0!</v>
      </c>
      <c r="Y23" s="434" t="e">
        <f t="shared" si="12"/>
        <v>#DIV/0!</v>
      </c>
      <c r="Z23" s="434" t="e">
        <f t="shared" si="12"/>
        <v>#DIV/0!</v>
      </c>
      <c r="AA23" s="434" t="e">
        <f t="shared" si="12"/>
        <v>#DIV/0!</v>
      </c>
      <c r="AB23" s="434" t="e">
        <f t="shared" si="12"/>
        <v>#DIV/0!</v>
      </c>
      <c r="AC23" s="434" t="e">
        <f t="shared" si="12"/>
        <v>#DIV/0!</v>
      </c>
      <c r="AD23" s="434" t="e">
        <f t="shared" si="12"/>
        <v>#DIV/0!</v>
      </c>
      <c r="AE23" s="391"/>
      <c r="AF23" s="396"/>
    </row>
    <row r="24" spans="1:32" ht="15" customHeight="1" x14ac:dyDescent="0.25">
      <c r="A24" s="394"/>
      <c r="B24" s="391"/>
      <c r="C24" s="708"/>
      <c r="D24" s="703" t="str">
        <f>Translation!C199</f>
        <v>Davek od dobička</v>
      </c>
      <c r="E24" s="703"/>
      <c r="F24" s="703"/>
      <c r="G24" s="703"/>
      <c r="H24" s="703"/>
      <c r="I24" s="703"/>
      <c r="J24" s="703"/>
      <c r="K24" s="433" t="e">
        <f>IF(K6="","",Parameters!I130)</f>
        <v>#DIV/0!</v>
      </c>
      <c r="L24" s="433" t="e">
        <f>IF(L6="","",Parameters!J130)</f>
        <v>#DIV/0!</v>
      </c>
      <c r="M24" s="433" t="e">
        <f>IF(M6="","",Parameters!K130)</f>
        <v>#DIV/0!</v>
      </c>
      <c r="N24" s="433" t="e">
        <f>IF(N6="","",Parameters!L130)</f>
        <v>#DIV/0!</v>
      </c>
      <c r="O24" s="433" t="e">
        <f>IF(O6="","",Parameters!M130)</f>
        <v>#DIV/0!</v>
      </c>
      <c r="P24" s="433" t="e">
        <f>IF(P6="","",Parameters!N130)</f>
        <v>#DIV/0!</v>
      </c>
      <c r="Q24" s="433" t="e">
        <f>IF(Q6="","",Parameters!O130)</f>
        <v>#DIV/0!</v>
      </c>
      <c r="R24" s="433" t="e">
        <f>IF(R6="","",Parameters!P130)</f>
        <v>#DIV/0!</v>
      </c>
      <c r="S24" s="433" t="e">
        <f>IF(S6="","",Parameters!Q130)</f>
        <v>#DIV/0!</v>
      </c>
      <c r="T24" s="433" t="e">
        <f>IF(T6="","",Parameters!R130)</f>
        <v>#DIV/0!</v>
      </c>
      <c r="U24" s="433" t="e">
        <f>IF(U6="","",Parameters!S130)</f>
        <v>#DIV/0!</v>
      </c>
      <c r="V24" s="433" t="e">
        <f>IF(V6="","",Parameters!T130)</f>
        <v>#DIV/0!</v>
      </c>
      <c r="W24" s="433" t="e">
        <f>IF(W6="","",Parameters!U130)</f>
        <v>#DIV/0!</v>
      </c>
      <c r="X24" s="433" t="e">
        <f>IF(X6="","",Parameters!V130)</f>
        <v>#DIV/0!</v>
      </c>
      <c r="Y24" s="433" t="e">
        <f>IF(Y6="","",Parameters!W130)</f>
        <v>#DIV/0!</v>
      </c>
      <c r="Z24" s="433" t="e">
        <f>IF(Z6="","",Parameters!X130)</f>
        <v>#DIV/0!</v>
      </c>
      <c r="AA24" s="433" t="e">
        <f>IF(AA6="","",Parameters!Y130)</f>
        <v>#DIV/0!</v>
      </c>
      <c r="AB24" s="433" t="e">
        <f>IF(AB6="","",Parameters!Z130)</f>
        <v>#DIV/0!</v>
      </c>
      <c r="AC24" s="433" t="e">
        <f>IF(AC6="","",Parameters!AA130)</f>
        <v>#DIV/0!</v>
      </c>
      <c r="AD24" s="433" t="e">
        <f>IF(AD6="","",Parameters!AB130)</f>
        <v>#DIV/0!</v>
      </c>
      <c r="AE24" s="391"/>
      <c r="AF24" s="396"/>
    </row>
    <row r="25" spans="1:32" ht="15" customHeight="1" x14ac:dyDescent="0.25">
      <c r="A25" s="394"/>
      <c r="B25" s="391"/>
      <c r="C25" s="709"/>
      <c r="D25" s="704" t="str">
        <f>Translation!C200</f>
        <v>Čisti dobiček</v>
      </c>
      <c r="E25" s="704"/>
      <c r="F25" s="704"/>
      <c r="G25" s="704"/>
      <c r="H25" s="704"/>
      <c r="I25" s="704"/>
      <c r="J25" s="704"/>
      <c r="K25" s="434" t="e">
        <f>IF(K6="","",K23-K24)</f>
        <v>#DIV/0!</v>
      </c>
      <c r="L25" s="434" t="e">
        <f t="shared" ref="L25:AD25" si="13">IF(L6="","",L23-L24)</f>
        <v>#DIV/0!</v>
      </c>
      <c r="M25" s="434" t="e">
        <f t="shared" si="13"/>
        <v>#DIV/0!</v>
      </c>
      <c r="N25" s="434" t="e">
        <f t="shared" si="13"/>
        <v>#DIV/0!</v>
      </c>
      <c r="O25" s="434" t="e">
        <f t="shared" si="13"/>
        <v>#DIV/0!</v>
      </c>
      <c r="P25" s="434" t="e">
        <f t="shared" si="13"/>
        <v>#DIV/0!</v>
      </c>
      <c r="Q25" s="434" t="e">
        <f t="shared" si="13"/>
        <v>#DIV/0!</v>
      </c>
      <c r="R25" s="434" t="e">
        <f t="shared" si="13"/>
        <v>#DIV/0!</v>
      </c>
      <c r="S25" s="434" t="e">
        <f t="shared" si="13"/>
        <v>#DIV/0!</v>
      </c>
      <c r="T25" s="434" t="e">
        <f t="shared" si="13"/>
        <v>#DIV/0!</v>
      </c>
      <c r="U25" s="434" t="e">
        <f t="shared" si="13"/>
        <v>#DIV/0!</v>
      </c>
      <c r="V25" s="434" t="e">
        <f t="shared" si="13"/>
        <v>#DIV/0!</v>
      </c>
      <c r="W25" s="434" t="e">
        <f t="shared" si="13"/>
        <v>#DIV/0!</v>
      </c>
      <c r="X25" s="434" t="e">
        <f t="shared" si="13"/>
        <v>#DIV/0!</v>
      </c>
      <c r="Y25" s="434" t="e">
        <f t="shared" si="13"/>
        <v>#DIV/0!</v>
      </c>
      <c r="Z25" s="434" t="e">
        <f t="shared" si="13"/>
        <v>#DIV/0!</v>
      </c>
      <c r="AA25" s="434" t="e">
        <f t="shared" si="13"/>
        <v>#DIV/0!</v>
      </c>
      <c r="AB25" s="434" t="e">
        <f t="shared" si="13"/>
        <v>#DIV/0!</v>
      </c>
      <c r="AC25" s="434" t="e">
        <f t="shared" si="13"/>
        <v>#DIV/0!</v>
      </c>
      <c r="AD25" s="434" t="e">
        <f t="shared" si="13"/>
        <v>#DIV/0!</v>
      </c>
      <c r="AE25" s="391"/>
      <c r="AF25" s="396"/>
    </row>
    <row r="26" spans="1:32" ht="15" customHeight="1" x14ac:dyDescent="0.25">
      <c r="A26" s="394"/>
      <c r="B26" s="391"/>
      <c r="C26" s="435"/>
      <c r="D26" s="435"/>
      <c r="E26" s="435"/>
      <c r="F26" s="435"/>
      <c r="G26" s="435"/>
      <c r="H26" s="435"/>
      <c r="I26" s="435"/>
      <c r="J26" s="425"/>
      <c r="K26" s="425"/>
      <c r="L26" s="425"/>
      <c r="M26" s="425"/>
      <c r="N26" s="425"/>
      <c r="O26" s="425"/>
      <c r="P26" s="425"/>
      <c r="Q26" s="425"/>
      <c r="R26" s="425"/>
      <c r="S26" s="425"/>
      <c r="T26" s="425"/>
      <c r="U26" s="425"/>
      <c r="V26" s="425"/>
      <c r="W26" s="425"/>
      <c r="X26" s="425"/>
      <c r="Y26" s="425"/>
      <c r="Z26" s="425"/>
      <c r="AA26" s="425"/>
      <c r="AB26" s="425"/>
      <c r="AC26" s="425"/>
      <c r="AD26" s="425"/>
      <c r="AE26" s="391"/>
      <c r="AF26" s="396"/>
    </row>
    <row r="27" spans="1:32" ht="15" customHeight="1" x14ac:dyDescent="0.25">
      <c r="A27" s="394"/>
      <c r="B27" s="391"/>
      <c r="C27" s="435"/>
      <c r="D27" s="435"/>
      <c r="E27" s="435"/>
      <c r="F27" s="435"/>
      <c r="G27" s="435"/>
      <c r="H27" s="435"/>
      <c r="I27" s="391"/>
      <c r="J27" s="710" t="str">
        <f>Translation!C182</f>
        <v>IZKAZ FINANČNEGA IZIDA</v>
      </c>
      <c r="K27" s="711"/>
      <c r="L27" s="711"/>
      <c r="M27" s="711"/>
      <c r="N27" s="711"/>
      <c r="O27" s="711"/>
      <c r="P27" s="711"/>
      <c r="Q27" s="711"/>
      <c r="R27" s="711"/>
      <c r="S27" s="711"/>
      <c r="T27" s="711"/>
      <c r="U27" s="711"/>
      <c r="V27" s="711"/>
      <c r="W27" s="711"/>
      <c r="X27" s="711"/>
      <c r="Y27" s="711"/>
      <c r="Z27" s="711"/>
      <c r="AA27" s="711"/>
      <c r="AB27" s="711"/>
      <c r="AC27" s="711"/>
      <c r="AD27" s="712"/>
      <c r="AE27" s="391"/>
      <c r="AF27" s="396"/>
    </row>
    <row r="28" spans="1:32" ht="15" customHeight="1" x14ac:dyDescent="0.25">
      <c r="A28" s="394"/>
      <c r="B28" s="391"/>
      <c r="C28" s="435"/>
      <c r="D28" s="435"/>
      <c r="E28" s="435"/>
      <c r="F28" s="435"/>
      <c r="G28" s="435"/>
      <c r="H28" s="435"/>
      <c r="I28" s="391"/>
      <c r="J28" s="430">
        <f>IF(J53&lt;='5'!$J$44,J53,"")</f>
        <v>0</v>
      </c>
      <c r="K28" s="430">
        <f>IF(K53&lt;='5'!$J$44,K53,"")</f>
        <v>1</v>
      </c>
      <c r="L28" s="430">
        <f>IF(L53&lt;='5'!$J$44,L53,"")</f>
        <v>2</v>
      </c>
      <c r="M28" s="430">
        <f>IF(M53&lt;='5'!$J$44,M53,"")</f>
        <v>3</v>
      </c>
      <c r="N28" s="430">
        <f>IF(N53&lt;='5'!$J$44,N53,"")</f>
        <v>4</v>
      </c>
      <c r="O28" s="430">
        <f>IF(O53&lt;='5'!$J$44,O53,"")</f>
        <v>5</v>
      </c>
      <c r="P28" s="430">
        <f>IF(P53&lt;='5'!$J$44,P53,"")</f>
        <v>6</v>
      </c>
      <c r="Q28" s="430">
        <f>IF(Q53&lt;='5'!$J$44,Q53,"")</f>
        <v>7</v>
      </c>
      <c r="R28" s="430">
        <f>IF(R53&lt;='5'!$J$44,R53,"")</f>
        <v>8</v>
      </c>
      <c r="S28" s="430">
        <f>IF(S53&lt;='5'!$J$44,S53,"")</f>
        <v>9</v>
      </c>
      <c r="T28" s="430">
        <f>IF(T53&lt;='5'!$J$44,T53,"")</f>
        <v>10</v>
      </c>
      <c r="U28" s="430">
        <f>IF(U53&lt;='5'!$J$44,U53,"")</f>
        <v>11</v>
      </c>
      <c r="V28" s="430">
        <f>IF(V53&lt;='5'!$J$44,V53,"")</f>
        <v>12</v>
      </c>
      <c r="W28" s="430">
        <f>IF(W53&lt;='5'!$J$44,W53,"")</f>
        <v>13</v>
      </c>
      <c r="X28" s="430">
        <f>IF(X53&lt;='5'!$J$44,X53,"")</f>
        <v>14</v>
      </c>
      <c r="Y28" s="430">
        <f>IF(Y53&lt;='5'!$J$44,Y53,"")</f>
        <v>15</v>
      </c>
      <c r="Z28" s="430">
        <f>IF(Z53&lt;='5'!$J$44,Z53,"")</f>
        <v>16</v>
      </c>
      <c r="AA28" s="430">
        <f>IF(AA53&lt;='5'!$J$44,AA53,"")</f>
        <v>17</v>
      </c>
      <c r="AB28" s="430">
        <f>IF(AB53&lt;='5'!$J$44,AB53,"")</f>
        <v>18</v>
      </c>
      <c r="AC28" s="430">
        <f>IF(AC53&lt;='5'!$J$44,AC53,"")</f>
        <v>19</v>
      </c>
      <c r="AD28" s="430">
        <f>IF(AD53&lt;='5'!$J$44,AD53,"")</f>
        <v>20</v>
      </c>
      <c r="AE28" s="391"/>
      <c r="AF28" s="396"/>
    </row>
    <row r="29" spans="1:32" ht="15" customHeight="1" x14ac:dyDescent="0.25">
      <c r="A29" s="394"/>
      <c r="B29" s="391"/>
      <c r="C29" s="435"/>
      <c r="D29" s="435"/>
      <c r="E29" s="435"/>
      <c r="F29" s="435"/>
      <c r="G29" s="435"/>
      <c r="H29" s="435"/>
      <c r="I29" s="435"/>
      <c r="J29" s="430">
        <f t="shared" ref="J29:AD29" ca="1" si="14">IF(J28="","",J54)</f>
        <v>2018</v>
      </c>
      <c r="K29" s="430">
        <f t="shared" ca="1" si="14"/>
        <v>2019</v>
      </c>
      <c r="L29" s="430">
        <f t="shared" ca="1" si="14"/>
        <v>2020</v>
      </c>
      <c r="M29" s="430">
        <f t="shared" ca="1" si="14"/>
        <v>2021</v>
      </c>
      <c r="N29" s="430">
        <f t="shared" ca="1" si="14"/>
        <v>2022</v>
      </c>
      <c r="O29" s="430">
        <f t="shared" ca="1" si="14"/>
        <v>2023</v>
      </c>
      <c r="P29" s="430">
        <f t="shared" ca="1" si="14"/>
        <v>2024</v>
      </c>
      <c r="Q29" s="430">
        <f t="shared" ca="1" si="14"/>
        <v>2025</v>
      </c>
      <c r="R29" s="430">
        <f t="shared" ca="1" si="14"/>
        <v>2026</v>
      </c>
      <c r="S29" s="430">
        <f t="shared" ca="1" si="14"/>
        <v>2027</v>
      </c>
      <c r="T29" s="430">
        <f t="shared" ca="1" si="14"/>
        <v>2028</v>
      </c>
      <c r="U29" s="430">
        <f t="shared" ca="1" si="14"/>
        <v>2029</v>
      </c>
      <c r="V29" s="430">
        <f t="shared" ca="1" si="14"/>
        <v>2030</v>
      </c>
      <c r="W29" s="430">
        <f t="shared" ca="1" si="14"/>
        <v>2031</v>
      </c>
      <c r="X29" s="430">
        <f t="shared" ca="1" si="14"/>
        <v>2032</v>
      </c>
      <c r="Y29" s="430">
        <f t="shared" ca="1" si="14"/>
        <v>2033</v>
      </c>
      <c r="Z29" s="430">
        <f t="shared" ca="1" si="14"/>
        <v>2034</v>
      </c>
      <c r="AA29" s="430">
        <f t="shared" ca="1" si="14"/>
        <v>2035</v>
      </c>
      <c r="AB29" s="430">
        <f t="shared" ca="1" si="14"/>
        <v>2036</v>
      </c>
      <c r="AC29" s="430">
        <f t="shared" ca="1" si="14"/>
        <v>2037</v>
      </c>
      <c r="AD29" s="430">
        <f t="shared" ca="1" si="14"/>
        <v>2038</v>
      </c>
      <c r="AE29" s="391"/>
      <c r="AF29" s="396"/>
    </row>
    <row r="30" spans="1:32" ht="15" customHeight="1" x14ac:dyDescent="0.25">
      <c r="A30" s="394"/>
      <c r="B30" s="391"/>
      <c r="C30" s="437"/>
      <c r="D30" s="716" t="str">
        <f>Translation!C201</f>
        <v>Poslovni denarni tokovi</v>
      </c>
      <c r="E30" s="717"/>
      <c r="F30" s="717"/>
      <c r="G30" s="717"/>
      <c r="H30" s="717"/>
      <c r="I30" s="718"/>
      <c r="J30" s="383">
        <f>'F-Calc Cash flow'!D33</f>
        <v>0</v>
      </c>
      <c r="K30" s="383" t="e">
        <f ca="1">IF(K28="","",'F-Calc Cash flow'!$F82)</f>
        <v>#DIV/0!</v>
      </c>
      <c r="L30" s="383" t="e">
        <f ca="1">IF(L28="","",'F-Calc Cash flow'!F83)</f>
        <v>#DIV/0!</v>
      </c>
      <c r="M30" s="383" t="e">
        <f ca="1">IF(M28="","",'F-Calc Cash flow'!F84)</f>
        <v>#DIV/0!</v>
      </c>
      <c r="N30" s="383" t="e">
        <f ca="1">IF(N28="","",'F-Calc Cash flow'!F85)</f>
        <v>#DIV/0!</v>
      </c>
      <c r="O30" s="383" t="e">
        <f ca="1">IF(O28="","",'F-Calc Cash flow'!F86)</f>
        <v>#DIV/0!</v>
      </c>
      <c r="P30" s="383" t="e">
        <f ca="1">IF(P28="","",'F-Calc Cash flow'!F87)</f>
        <v>#DIV/0!</v>
      </c>
      <c r="Q30" s="383" t="e">
        <f ca="1">IF(Q28="","",'F-Calc Cash flow'!F88)</f>
        <v>#DIV/0!</v>
      </c>
      <c r="R30" s="383" t="e">
        <f ca="1">IF(R28="","",'F-Calc Cash flow'!F89)</f>
        <v>#DIV/0!</v>
      </c>
      <c r="S30" s="383" t="e">
        <f ca="1">IF(S28="","",'F-Calc Cash flow'!F90)</f>
        <v>#DIV/0!</v>
      </c>
      <c r="T30" s="383" t="e">
        <f ca="1">IF(T28="","",'F-Calc Cash flow'!F91)</f>
        <v>#DIV/0!</v>
      </c>
      <c r="U30" s="383" t="e">
        <f ca="1">IF(U28="","",'F-Calc Cash flow'!F92)</f>
        <v>#DIV/0!</v>
      </c>
      <c r="V30" s="383" t="e">
        <f ca="1">IF(V28="","",'F-Calc Cash flow'!F93)</f>
        <v>#DIV/0!</v>
      </c>
      <c r="W30" s="383" t="e">
        <f ca="1">IF(W28="","",'F-Calc Cash flow'!F94)</f>
        <v>#DIV/0!</v>
      </c>
      <c r="X30" s="383" t="e">
        <f ca="1">IF(X28="","",'F-Calc Cash flow'!F95)</f>
        <v>#DIV/0!</v>
      </c>
      <c r="Y30" s="383" t="e">
        <f ca="1">IF(Y28="","",'F-Calc Cash flow'!F96)</f>
        <v>#DIV/0!</v>
      </c>
      <c r="Z30" s="383" t="e">
        <f ca="1">IF(Z28="","",'F-Calc Cash flow'!F97)</f>
        <v>#DIV/0!</v>
      </c>
      <c r="AA30" s="383" t="e">
        <f ca="1">IF(AA28="","",'F-Calc Cash flow'!F98)</f>
        <v>#DIV/0!</v>
      </c>
      <c r="AB30" s="383" t="e">
        <f ca="1">IF(AB28="","",'F-Calc Cash flow'!F99)</f>
        <v>#DIV/0!</v>
      </c>
      <c r="AC30" s="383" t="e">
        <f ca="1">IF(AC28="","",'F-Calc Cash flow'!F100)</f>
        <v>#DIV/0!</v>
      </c>
      <c r="AD30" s="383" t="e">
        <f ca="1">IF(AD28="","",'F-Calc Cash flow'!F101)</f>
        <v>#DIV/0!</v>
      </c>
      <c r="AE30" s="391"/>
      <c r="AF30" s="396"/>
    </row>
    <row r="31" spans="1:32" ht="15" customHeight="1" x14ac:dyDescent="0.25">
      <c r="A31" s="394"/>
      <c r="B31" s="391"/>
      <c r="C31" s="437"/>
      <c r="D31" s="716" t="str">
        <f>Translation!C202</f>
        <v>Denarni tokovi iz naložbenja</v>
      </c>
      <c r="E31" s="717"/>
      <c r="F31" s="717"/>
      <c r="G31" s="717"/>
      <c r="H31" s="717"/>
      <c r="I31" s="718"/>
      <c r="J31" s="383" t="e">
        <f>'F-Calc Cash flow'!J21</f>
        <v>#VALUE!</v>
      </c>
      <c r="K31" s="383">
        <f ca="1">IF(K28="","",'F-Calc Cash flow'!$G82)</f>
        <v>2223</v>
      </c>
      <c r="L31" s="383">
        <f ca="1">IF(L28="","",'F-Calc Cash flow'!$G83)</f>
        <v>2223</v>
      </c>
      <c r="M31" s="383">
        <f ca="1">IF(M28="","",'F-Calc Cash flow'!$G84)</f>
        <v>2223</v>
      </c>
      <c r="N31" s="383">
        <f ca="1">IF(N28="","",'F-Calc Cash flow'!$G85)</f>
        <v>2223</v>
      </c>
      <c r="O31" s="383">
        <f ca="1">IF(O28="","",'F-Calc Cash flow'!$G87)</f>
        <v>2223</v>
      </c>
      <c r="P31" s="383">
        <f ca="1">IF(P28="","",'F-Calc Cash flow'!$G87)</f>
        <v>2223</v>
      </c>
      <c r="Q31" s="383">
        <f ca="1">IF(Q28="","",'F-Calc Cash flow'!$G88)</f>
        <v>2223</v>
      </c>
      <c r="R31" s="383">
        <f ca="1">IF(R28="","",'F-Calc Cash flow'!$G89)</f>
        <v>2223</v>
      </c>
      <c r="S31" s="383">
        <f ca="1">IF(S28="","",'F-Calc Cash flow'!G90)</f>
        <v>2223</v>
      </c>
      <c r="T31" s="383">
        <f ca="1">IF(T28="","",'F-Calc Cash flow'!$G91)</f>
        <v>2223</v>
      </c>
      <c r="U31" s="383">
        <f ca="1">IF(U28="","",'F-Calc Cash flow'!G92)</f>
        <v>2223</v>
      </c>
      <c r="V31" s="383">
        <f ca="1">IF(V28="","",'F-Calc Cash flow'!$G93)</f>
        <v>2223</v>
      </c>
      <c r="W31" s="383">
        <f ca="1">IF(W28="","",'F-Calc Cash flow'!$G94)</f>
        <v>2223</v>
      </c>
      <c r="X31" s="383">
        <f ca="1">IF(X28="","",'F-Calc Cash flow'!$G95)</f>
        <v>2223</v>
      </c>
      <c r="Y31" s="383">
        <f ca="1">IF(Y28="","",'F-Calc Cash flow'!$G96)</f>
        <v>2223</v>
      </c>
      <c r="Z31" s="383">
        <f ca="1">IF(Z28="","",'F-Calc Cash flow'!$G97)</f>
        <v>2223</v>
      </c>
      <c r="AA31" s="383">
        <f ca="1">IF(AA28="","",'F-Calc Cash flow'!$G98)</f>
        <v>2223</v>
      </c>
      <c r="AB31" s="383">
        <f ca="1">IF(AB28="","",'F-Calc Cash flow'!$G99)</f>
        <v>2223</v>
      </c>
      <c r="AC31" s="383">
        <f ca="1">IF(AC28="","",'F-Calc Cash flow'!$G100)</f>
        <v>2223</v>
      </c>
      <c r="AD31" s="383">
        <f ca="1">IF(AD28="","",'F-Calc Cash flow'!$G101)</f>
        <v>2223</v>
      </c>
      <c r="AE31" s="391"/>
      <c r="AF31" s="396"/>
    </row>
    <row r="32" spans="1:32" ht="15" customHeight="1" x14ac:dyDescent="0.25">
      <c r="A32" s="394"/>
      <c r="B32" s="391"/>
      <c r="C32" s="438"/>
      <c r="D32" s="716" t="str">
        <f>Translation!C203</f>
        <v>Denarni tokovi iz vlaganja (financiranja)</v>
      </c>
      <c r="E32" s="717"/>
      <c r="F32" s="717"/>
      <c r="G32" s="717"/>
      <c r="H32" s="717"/>
      <c r="I32" s="718"/>
      <c r="J32" s="383" t="e">
        <f>'F-Calc Cash flow'!J39</f>
        <v>#VALUE!</v>
      </c>
      <c r="K32" s="383" t="e">
        <f ca="1">IF(K28="","",'F-Calc Cash flow'!$H82)</f>
        <v>#DIV/0!</v>
      </c>
      <c r="L32" s="383" t="e">
        <f ca="1">IF(L28="","",'F-Calc Cash flow'!$H83)</f>
        <v>#DIV/0!</v>
      </c>
      <c r="M32" s="383" t="e">
        <f ca="1">IF(M28="","",'F-Calc Cash flow'!$H84)</f>
        <v>#DIV/0!</v>
      </c>
      <c r="N32" s="383" t="e">
        <f ca="1">IF(N28="","",'F-Calc Cash flow'!$H85)</f>
        <v>#DIV/0!</v>
      </c>
      <c r="O32" s="383" t="e">
        <f ca="1">IF(O28="","",'F-Calc Cash flow'!$H86)</f>
        <v>#DIV/0!</v>
      </c>
      <c r="P32" s="383" t="e">
        <f ca="1">IF(P28="","",'F-Calc Cash flow'!$H87)</f>
        <v>#DIV/0!</v>
      </c>
      <c r="Q32" s="383" t="e">
        <f ca="1">IF(Q28="","",'F-Calc Cash flow'!$H88)</f>
        <v>#DIV/0!</v>
      </c>
      <c r="R32" s="383" t="e">
        <f ca="1">IF(R28="","",'F-Calc Cash flow'!$H89)</f>
        <v>#DIV/0!</v>
      </c>
      <c r="S32" s="383" t="e">
        <f ca="1">IF(S28="","",'F-Calc Cash flow'!H90)</f>
        <v>#DIV/0!</v>
      </c>
      <c r="T32" s="383" t="e">
        <f ca="1">IF(T28="","",'F-Calc Cash flow'!$H91)</f>
        <v>#DIV/0!</v>
      </c>
      <c r="U32" s="383" t="e">
        <f ca="1">IF(U28="","",'F-Calc Cash flow'!H92)</f>
        <v>#DIV/0!</v>
      </c>
      <c r="V32" s="383" t="e">
        <f ca="1">IF(V28="","",'F-Calc Cash flow'!$H93)</f>
        <v>#DIV/0!</v>
      </c>
      <c r="W32" s="383" t="e">
        <f ca="1">IF(W28="","",'F-Calc Cash flow'!$H94)</f>
        <v>#DIV/0!</v>
      </c>
      <c r="X32" s="383" t="e">
        <f ca="1">IF(X28="","",'F-Calc Cash flow'!$H95)</f>
        <v>#DIV/0!</v>
      </c>
      <c r="Y32" s="383" t="e">
        <f ca="1">IF(Y28="","",'F-Calc Cash flow'!$H96)</f>
        <v>#DIV/0!</v>
      </c>
      <c r="Z32" s="383" t="e">
        <f ca="1">IF(Z28="","",'F-Calc Cash flow'!$H97)</f>
        <v>#DIV/0!</v>
      </c>
      <c r="AA32" s="383" t="e">
        <f ca="1">IF(AA28="","",'F-Calc Cash flow'!$H98)</f>
        <v>#DIV/0!</v>
      </c>
      <c r="AB32" s="383" t="e">
        <f ca="1">IF(AB28="","",'F-Calc Cash flow'!$H99)</f>
        <v>#DIV/0!</v>
      </c>
      <c r="AC32" s="383" t="e">
        <f ca="1">IF(AC28="","",'F-Calc Cash flow'!$H100)</f>
        <v>#DIV/0!</v>
      </c>
      <c r="AD32" s="383" t="e">
        <f ca="1">IF(AD28="","",'F-Calc Cash flow'!$H101)</f>
        <v>#DIV/0!</v>
      </c>
      <c r="AE32" s="391"/>
      <c r="AF32" s="396"/>
    </row>
    <row r="33" spans="1:32" ht="15" customHeight="1" x14ac:dyDescent="0.25">
      <c r="A33" s="394"/>
      <c r="B33" s="391"/>
      <c r="C33" s="438"/>
      <c r="D33" s="704" t="str">
        <f>Translation!C204</f>
        <v>Finančni izid</v>
      </c>
      <c r="E33" s="704"/>
      <c r="F33" s="704"/>
      <c r="G33" s="704"/>
      <c r="H33" s="704"/>
      <c r="I33" s="704"/>
      <c r="J33" s="432" t="e">
        <f>IF(J28="","",SUM(J30:J32))</f>
        <v>#VALUE!</v>
      </c>
      <c r="K33" s="432" t="e">
        <f ca="1">IF(K28="","",SUM(K30:K32))</f>
        <v>#DIV/0!</v>
      </c>
      <c r="L33" s="432" t="e">
        <f t="shared" ref="L33:AD33" ca="1" si="15">IF(L28="","",SUM(L30:L32))</f>
        <v>#DIV/0!</v>
      </c>
      <c r="M33" s="432" t="e">
        <f t="shared" ca="1" si="15"/>
        <v>#DIV/0!</v>
      </c>
      <c r="N33" s="432" t="e">
        <f t="shared" ca="1" si="15"/>
        <v>#DIV/0!</v>
      </c>
      <c r="O33" s="432" t="e">
        <f t="shared" ca="1" si="15"/>
        <v>#DIV/0!</v>
      </c>
      <c r="P33" s="432" t="e">
        <f t="shared" ca="1" si="15"/>
        <v>#DIV/0!</v>
      </c>
      <c r="Q33" s="432" t="e">
        <f t="shared" ca="1" si="15"/>
        <v>#DIV/0!</v>
      </c>
      <c r="R33" s="432" t="e">
        <f t="shared" ca="1" si="15"/>
        <v>#DIV/0!</v>
      </c>
      <c r="S33" s="432" t="e">
        <f t="shared" ca="1" si="15"/>
        <v>#DIV/0!</v>
      </c>
      <c r="T33" s="432" t="e">
        <f t="shared" ca="1" si="15"/>
        <v>#DIV/0!</v>
      </c>
      <c r="U33" s="432" t="e">
        <f t="shared" ca="1" si="15"/>
        <v>#DIV/0!</v>
      </c>
      <c r="V33" s="432" t="e">
        <f t="shared" ca="1" si="15"/>
        <v>#DIV/0!</v>
      </c>
      <c r="W33" s="432" t="e">
        <f t="shared" ca="1" si="15"/>
        <v>#DIV/0!</v>
      </c>
      <c r="X33" s="432" t="e">
        <f t="shared" ca="1" si="15"/>
        <v>#DIV/0!</v>
      </c>
      <c r="Y33" s="432" t="e">
        <f t="shared" ca="1" si="15"/>
        <v>#DIV/0!</v>
      </c>
      <c r="Z33" s="432" t="e">
        <f t="shared" ca="1" si="15"/>
        <v>#DIV/0!</v>
      </c>
      <c r="AA33" s="432" t="e">
        <f t="shared" ca="1" si="15"/>
        <v>#DIV/0!</v>
      </c>
      <c r="AB33" s="432" t="e">
        <f t="shared" ca="1" si="15"/>
        <v>#DIV/0!</v>
      </c>
      <c r="AC33" s="432" t="e">
        <f t="shared" ca="1" si="15"/>
        <v>#DIV/0!</v>
      </c>
      <c r="AD33" s="432" t="e">
        <f t="shared" ca="1" si="15"/>
        <v>#DIV/0!</v>
      </c>
      <c r="AE33" s="391"/>
      <c r="AF33" s="396"/>
    </row>
    <row r="34" spans="1:32" ht="15" customHeight="1" x14ac:dyDescent="0.25">
      <c r="A34" s="394"/>
      <c r="B34" s="391"/>
      <c r="C34" s="391"/>
      <c r="D34" s="391"/>
      <c r="E34" s="391"/>
      <c r="F34" s="391"/>
      <c r="G34" s="391"/>
      <c r="H34" s="391"/>
      <c r="I34" s="435"/>
      <c r="J34" s="440"/>
      <c r="K34" s="440"/>
      <c r="L34" s="425"/>
      <c r="M34" s="425"/>
      <c r="N34" s="425"/>
      <c r="O34" s="425"/>
      <c r="P34" s="425"/>
      <c r="Q34" s="425"/>
      <c r="R34" s="425"/>
      <c r="S34" s="425"/>
      <c r="T34" s="425"/>
      <c r="U34" s="425"/>
      <c r="V34" s="425"/>
      <c r="W34" s="425"/>
      <c r="X34" s="425"/>
      <c r="Y34" s="425"/>
      <c r="Z34" s="425"/>
      <c r="AA34" s="425"/>
      <c r="AB34" s="425"/>
      <c r="AC34" s="425"/>
      <c r="AD34" s="425"/>
      <c r="AE34" s="391"/>
      <c r="AF34" s="396"/>
    </row>
    <row r="35" spans="1:32" ht="15" customHeight="1" x14ac:dyDescent="0.25">
      <c r="A35" s="394"/>
      <c r="B35" s="391"/>
      <c r="C35" s="391"/>
      <c r="D35" s="713" t="str">
        <f>Translation!C205&amp;" ("&amp;Translation!C207&amp;")"</f>
        <v>DSCR (DEBT SERVICE COVER RATIO)</v>
      </c>
      <c r="E35" s="714"/>
      <c r="F35" s="714"/>
      <c r="G35" s="714"/>
      <c r="H35" s="714"/>
      <c r="I35" s="714"/>
      <c r="J35" s="715"/>
      <c r="K35" s="442" t="str">
        <f>IF(K28="","",IF('5'!$I$34&gt;0,K30/'F-Calc Mortgage loan'!$H$14,"N.A."))</f>
        <v>N.A.</v>
      </c>
      <c r="L35" s="442" t="str">
        <f>IF(L28="","",IF('5'!$I$34&gt;0,L30/'F-Calc Mortgage loan'!$H$14,"N.A."))</f>
        <v>N.A.</v>
      </c>
      <c r="M35" s="442" t="str">
        <f>IF(M28="","",IF('5'!$I$34&gt;0,M30/'F-Calc Mortgage loan'!$H$14,"N.A."))</f>
        <v>N.A.</v>
      </c>
      <c r="N35" s="442" t="str">
        <f>IF(N28="","",IF('5'!$I$34&gt;0,N30/'F-Calc Mortgage loan'!$H$14,"N.A."))</f>
        <v>N.A.</v>
      </c>
      <c r="O35" s="442" t="str">
        <f>IF(O28="","",IF('5'!$I$34&gt;0,O30/'F-Calc Mortgage loan'!$H$14,"N.A."))</f>
        <v>N.A.</v>
      </c>
      <c r="P35" s="442" t="str">
        <f>IF(P28="","",IF('5'!$I$34&gt;0,P30/'F-Calc Mortgage loan'!$H$14,"N.A."))</f>
        <v>N.A.</v>
      </c>
      <c r="Q35" s="442" t="str">
        <f>IF(Q28="","",IF('5'!$I$34&gt;0,Q30/'F-Calc Mortgage loan'!$H$14,"N.A."))</f>
        <v>N.A.</v>
      </c>
      <c r="R35" s="442" t="str">
        <f>IF(R28="","",IF('5'!$I$34&gt;0,R30/'F-Calc Mortgage loan'!$H$14,"N.A."))</f>
        <v>N.A.</v>
      </c>
      <c r="S35" s="442" t="str">
        <f>IF(S28="","",IF('5'!$I$34&gt;0,S30/'F-Calc Mortgage loan'!$H$14,"N.A."))</f>
        <v>N.A.</v>
      </c>
      <c r="T35" s="442" t="str">
        <f>IF(T28="","",IF('5'!$I$34&gt;0,T30/'F-Calc Mortgage loan'!$H$14,"N.A."))</f>
        <v>N.A.</v>
      </c>
      <c r="U35" s="442" t="str">
        <f>IF(U28="","",IF('5'!$I$34&gt;0,U30/'F-Calc Mortgage loan'!$H$14,"N.A."))</f>
        <v>N.A.</v>
      </c>
      <c r="V35" s="442" t="str">
        <f>IF(V28="","",IF('5'!$I$34&gt;0,V30/'F-Calc Mortgage loan'!$H$14,"N.A."))</f>
        <v>N.A.</v>
      </c>
      <c r="W35" s="442" t="str">
        <f>IF(W28="","",IF('5'!$I$34&gt;0,W30/'F-Calc Mortgage loan'!$H$14,"N.A."))</f>
        <v>N.A.</v>
      </c>
      <c r="X35" s="442" t="str">
        <f>IF(X28="","",IF('5'!$I$34&gt;0,X30/'F-Calc Mortgage loan'!$H$14,"N.A."))</f>
        <v>N.A.</v>
      </c>
      <c r="Y35" s="442" t="str">
        <f>IF(Y28="","",IF('5'!$I$34&gt;0,Y30/'F-Calc Mortgage loan'!$H$14,"N.A."))</f>
        <v>N.A.</v>
      </c>
      <c r="Z35" s="442" t="str">
        <f>IF(Z28="","",IF('5'!$I$34&gt;0,Z30/'F-Calc Mortgage loan'!$H$14,"N.A."))</f>
        <v>N.A.</v>
      </c>
      <c r="AA35" s="442" t="str">
        <f>IF(AA28="","",IF('5'!$I$34&gt;0,AA30/'F-Calc Mortgage loan'!$H$14,"N.A."))</f>
        <v>N.A.</v>
      </c>
      <c r="AB35" s="442" t="str">
        <f>IF(AB28="","",IF('5'!$I$34&gt;0,AB30/'F-Calc Mortgage loan'!$H$14,"N.A."))</f>
        <v>N.A.</v>
      </c>
      <c r="AC35" s="442" t="str">
        <f>IF(AC28="","",IF('5'!$I$34&gt;0,AC30/'F-Calc Mortgage loan'!$H$14,"N.A."))</f>
        <v>N.A.</v>
      </c>
      <c r="AD35" s="442" t="str">
        <f>IF(AD28="","",IF('5'!$I$34&gt;0,AD30/'F-Calc Mortgage loan'!$H$14,"N.A."))</f>
        <v>N.A.</v>
      </c>
      <c r="AE35" s="391"/>
      <c r="AF35" s="396"/>
    </row>
    <row r="36" spans="1:32" ht="15" customHeight="1" x14ac:dyDescent="0.25">
      <c r="A36" s="394"/>
      <c r="B36" s="391"/>
      <c r="C36" s="391"/>
      <c r="D36" s="391"/>
      <c r="E36" s="391"/>
      <c r="F36" s="391"/>
      <c r="G36" s="391"/>
      <c r="H36" s="391"/>
      <c r="I36" s="441"/>
      <c r="J36" s="440"/>
      <c r="K36" s="440"/>
      <c r="L36" s="425"/>
      <c r="M36" s="425"/>
      <c r="N36" s="425"/>
      <c r="O36" s="425"/>
      <c r="P36" s="425"/>
      <c r="Q36" s="425"/>
      <c r="R36" s="425"/>
      <c r="S36" s="425"/>
      <c r="T36" s="425"/>
      <c r="U36" s="425"/>
      <c r="V36" s="425"/>
      <c r="W36" s="425"/>
      <c r="X36" s="425"/>
      <c r="Y36" s="425"/>
      <c r="Z36" s="425"/>
      <c r="AA36" s="425"/>
      <c r="AB36" s="425"/>
      <c r="AC36" s="425"/>
      <c r="AD36" s="425"/>
      <c r="AE36" s="391"/>
      <c r="AF36" s="396"/>
    </row>
    <row r="37" spans="1:32" ht="15" customHeight="1" x14ac:dyDescent="0.25">
      <c r="A37" s="394"/>
      <c r="B37" s="391"/>
      <c r="C37" s="391"/>
      <c r="D37" s="713" t="str">
        <f>Translation!C206&amp;" ("&amp;Translation!C208&amp;")"</f>
        <v>LLCR (LOAN LIFE COVER RATIO)</v>
      </c>
      <c r="E37" s="714"/>
      <c r="F37" s="714"/>
      <c r="G37" s="714"/>
      <c r="H37" s="714"/>
      <c r="I37" s="714"/>
      <c r="J37" s="715"/>
      <c r="K37" s="442" t="str">
        <f>IF('F-Calc Mortgage loan'!C12&gt;0,NPV('5'!I26/100,J30:AD30)/'F-Calc Mortgage loan'!C12,"N.A.")</f>
        <v>N.A.</v>
      </c>
      <c r="L37" s="425"/>
      <c r="M37" s="425"/>
      <c r="N37" s="425"/>
      <c r="O37" s="425"/>
      <c r="P37" s="425"/>
      <c r="Q37" s="425"/>
      <c r="R37" s="425"/>
      <c r="S37" s="425"/>
      <c r="T37" s="425"/>
      <c r="U37" s="425"/>
      <c r="V37" s="425"/>
      <c r="W37" s="425"/>
      <c r="X37" s="425"/>
      <c r="Y37" s="425"/>
      <c r="Z37" s="425"/>
      <c r="AA37" s="425"/>
      <c r="AB37" s="425"/>
      <c r="AC37" s="425"/>
      <c r="AD37" s="425"/>
      <c r="AE37" s="391"/>
      <c r="AF37" s="396"/>
    </row>
    <row r="38" spans="1:32" ht="15" customHeight="1" x14ac:dyDescent="0.25">
      <c r="A38" s="394"/>
      <c r="B38" s="391"/>
      <c r="C38" s="391"/>
      <c r="D38" s="391"/>
      <c r="E38" s="391"/>
      <c r="F38" s="391"/>
      <c r="G38" s="391"/>
      <c r="H38" s="391"/>
      <c r="I38" s="441"/>
      <c r="J38" s="392"/>
      <c r="K38" s="392"/>
      <c r="L38" s="391"/>
      <c r="M38" s="391"/>
      <c r="N38" s="391"/>
      <c r="O38" s="391"/>
      <c r="P38" s="391"/>
      <c r="Q38" s="391"/>
      <c r="R38" s="391"/>
      <c r="S38" s="391"/>
      <c r="T38" s="391"/>
      <c r="U38" s="391"/>
      <c r="V38" s="391"/>
      <c r="W38" s="391"/>
      <c r="X38" s="391"/>
      <c r="Y38" s="391"/>
      <c r="Z38" s="391"/>
      <c r="AA38" s="391"/>
      <c r="AB38" s="391"/>
      <c r="AC38" s="391"/>
      <c r="AD38" s="391"/>
      <c r="AE38" s="391"/>
      <c r="AF38" s="396"/>
    </row>
    <row r="39" spans="1:32" ht="20.100000000000001" customHeight="1" x14ac:dyDescent="0.25">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5"/>
    </row>
    <row r="40" spans="1:32" ht="15" x14ac:dyDescent="0.25">
      <c r="B40" s="398"/>
      <c r="C40" s="398"/>
      <c r="D40" s="429" t="str">
        <f>Translation!C209</f>
        <v>LEGENDA</v>
      </c>
      <c r="G40" s="400"/>
      <c r="H40" s="398"/>
      <c r="I40" s="398"/>
      <c r="J40" s="399"/>
      <c r="K40" s="587"/>
      <c r="L40" s="588"/>
      <c r="M40" s="588"/>
      <c r="N40" s="588"/>
      <c r="O40" s="588"/>
      <c r="P40" s="588"/>
      <c r="Q40" s="588"/>
      <c r="R40" s="588"/>
      <c r="S40" s="588"/>
      <c r="T40" s="588"/>
      <c r="U40" s="588"/>
      <c r="V40" s="588"/>
      <c r="W40" s="588"/>
      <c r="X40" s="588"/>
      <c r="Y40" s="588"/>
      <c r="Z40" s="588"/>
      <c r="AA40" s="588"/>
      <c r="AB40" s="588"/>
      <c r="AC40" s="588"/>
      <c r="AD40" s="588"/>
    </row>
    <row r="41" spans="1:32" ht="15" x14ac:dyDescent="0.25">
      <c r="B41" s="398"/>
      <c r="C41" s="398"/>
      <c r="D41" s="344" t="str">
        <f>Translation!C186&amp;":"</f>
        <v>EBITDA:</v>
      </c>
      <c r="E41" s="344" t="str">
        <f>Translation!C210</f>
        <v>Dobiček pred obrestmi, davki, depreciacijo in amortizacijo (Earnings Before Interest, Taxes, Depreciation and Amortization)</v>
      </c>
      <c r="G41" s="400"/>
      <c r="H41" s="398"/>
      <c r="I41" s="398"/>
      <c r="J41" s="399"/>
      <c r="K41" s="589"/>
      <c r="L41" s="589"/>
      <c r="M41" s="589"/>
      <c r="N41" s="589"/>
      <c r="O41" s="589"/>
      <c r="P41" s="589"/>
      <c r="Q41" s="589"/>
      <c r="R41" s="589"/>
      <c r="S41" s="589"/>
      <c r="T41" s="589"/>
      <c r="U41" s="589"/>
      <c r="V41" s="589"/>
      <c r="W41" s="589"/>
      <c r="X41" s="589"/>
      <c r="Y41" s="589"/>
      <c r="Z41" s="589"/>
      <c r="AA41" s="589"/>
      <c r="AB41" s="589"/>
      <c r="AC41" s="589"/>
      <c r="AD41" s="589"/>
    </row>
    <row r="42" spans="1:32" ht="15" x14ac:dyDescent="0.25">
      <c r="B42" s="398"/>
      <c r="C42" s="398"/>
      <c r="D42" s="344" t="str">
        <f>Translation!C194&amp;":"</f>
        <v>EBIT:</v>
      </c>
      <c r="E42" s="344" t="str">
        <f>Translation!C211</f>
        <v>Dobiček pred obrestmi in davki (Earnings Before Interest and Taxes)</v>
      </c>
      <c r="G42" s="400"/>
      <c r="H42" s="398"/>
      <c r="I42" s="398"/>
      <c r="J42" s="399"/>
      <c r="K42" s="399"/>
      <c r="L42" s="398"/>
      <c r="M42" s="398"/>
      <c r="N42" s="398"/>
      <c r="O42" s="398"/>
      <c r="P42" s="398"/>
      <c r="Q42" s="398"/>
      <c r="R42" s="398"/>
      <c r="S42" s="398"/>
      <c r="T42" s="398"/>
      <c r="U42" s="398"/>
      <c r="V42" s="398"/>
      <c r="W42" s="398"/>
      <c r="X42" s="398"/>
      <c r="Y42" s="398"/>
      <c r="Z42" s="398"/>
      <c r="AA42" s="398"/>
      <c r="AB42" s="398"/>
      <c r="AC42" s="398"/>
      <c r="AD42" s="398"/>
    </row>
    <row r="43" spans="1:32" ht="15" x14ac:dyDescent="0.25">
      <c r="B43" s="398"/>
      <c r="C43" s="398"/>
      <c r="D43" s="344" t="str">
        <f>Translation!C196&amp;":"</f>
        <v>IBIE:</v>
      </c>
      <c r="E43" s="344" t="str">
        <f>Translation!C212</f>
        <v>Dobiček pred odhodki za obresti (Income Before Interest Expense)</v>
      </c>
      <c r="G43" s="400"/>
      <c r="H43" s="398"/>
      <c r="I43" s="398"/>
      <c r="J43" s="399"/>
      <c r="K43" s="399"/>
      <c r="L43" s="398"/>
      <c r="M43" s="398"/>
      <c r="N43" s="398"/>
      <c r="O43" s="398"/>
      <c r="P43" s="398"/>
      <c r="Q43" s="398"/>
      <c r="R43" s="398"/>
      <c r="S43" s="398"/>
      <c r="T43" s="398"/>
      <c r="U43" s="398"/>
      <c r="V43" s="398"/>
      <c r="W43" s="398"/>
      <c r="X43" s="398"/>
      <c r="Y43" s="398"/>
      <c r="Z43" s="398"/>
      <c r="AA43" s="398"/>
      <c r="AB43" s="398"/>
      <c r="AC43" s="398"/>
      <c r="AD43" s="398"/>
    </row>
    <row r="44" spans="1:32" ht="15" x14ac:dyDescent="0.25">
      <c r="B44" s="398"/>
      <c r="C44" s="398"/>
      <c r="D44" s="344" t="str">
        <f>Translation!C198&amp;":"</f>
        <v>EBT:</v>
      </c>
      <c r="E44" s="344" t="str">
        <f>Translation!C213</f>
        <v>Dobiček pred davkom od dobička (Earnings Before Income Taxes)</v>
      </c>
      <c r="G44" s="400"/>
      <c r="H44" s="398"/>
      <c r="I44" s="398"/>
      <c r="J44" s="399"/>
      <c r="K44" s="399"/>
      <c r="L44" s="398"/>
      <c r="M44" s="398"/>
      <c r="N44" s="398"/>
      <c r="O44" s="398"/>
      <c r="P44" s="398"/>
      <c r="Q44" s="398"/>
      <c r="R44" s="398"/>
      <c r="S44" s="398"/>
      <c r="T44" s="398"/>
      <c r="U44" s="398"/>
      <c r="V44" s="398"/>
      <c r="W44" s="398"/>
      <c r="X44" s="398"/>
      <c r="Y44" s="398"/>
      <c r="Z44" s="398"/>
      <c r="AA44" s="398"/>
      <c r="AB44" s="398"/>
      <c r="AC44" s="398"/>
      <c r="AD44" s="398"/>
    </row>
    <row r="45" spans="1:32" ht="15" x14ac:dyDescent="0.25">
      <c r="B45" s="398"/>
      <c r="C45" s="398"/>
      <c r="D45" s="344" t="str">
        <f>Translation!C205&amp;":"</f>
        <v>DSCR:</v>
      </c>
      <c r="E45" s="344" t="str">
        <f>Translation!C214&amp;"   (= "&amp;Translation!C216&amp;")"</f>
        <v>Kazalnik servisiranja dolga (DSCR)   (= EBITDA  / servisiranje dolga. Servisiranje dolga = plačilo posojila (dolgoročni dolgovi, ki v kratkem zapadejo + obresti). DSCR se računa na letni osnovi.)</v>
      </c>
      <c r="G45" s="400"/>
      <c r="H45" s="398"/>
      <c r="I45" s="398"/>
      <c r="J45" s="399"/>
      <c r="K45" s="399"/>
      <c r="L45" s="398"/>
      <c r="M45" s="398"/>
      <c r="N45" s="398"/>
      <c r="O45" s="398"/>
      <c r="P45" s="398"/>
      <c r="Q45" s="398"/>
      <c r="R45" s="398"/>
      <c r="S45" s="398"/>
      <c r="T45" s="398"/>
      <c r="U45" s="398"/>
      <c r="V45" s="398"/>
      <c r="W45" s="398"/>
      <c r="X45" s="398"/>
      <c r="Y45" s="398"/>
      <c r="Z45" s="398"/>
      <c r="AA45" s="398"/>
      <c r="AB45" s="398"/>
      <c r="AC45" s="398"/>
      <c r="AD45" s="398"/>
    </row>
    <row r="46" spans="1:32" ht="15" x14ac:dyDescent="0.25">
      <c r="B46" s="398"/>
      <c r="C46" s="398"/>
      <c r="D46" s="344" t="str">
        <f>Translation!C206&amp;":"</f>
        <v>LLCR:</v>
      </c>
      <c r="E46" s="344" t="str">
        <f>Translation!C215&amp;"   (= "&amp;Translation!C217&amp;")"</f>
        <v>Kazalnik servisiranja dolga v njegovi življenjski dobi (LLCR)   (= Neto sedanja vrednost denarnih tokov, ki so na voljo za servisiranje dolga / stanje dolga)</v>
      </c>
      <c r="G46" s="400"/>
      <c r="H46" s="398"/>
      <c r="I46" s="398"/>
      <c r="J46" s="399"/>
      <c r="K46" s="399"/>
      <c r="L46" s="398"/>
      <c r="M46" s="398"/>
      <c r="N46" s="398"/>
      <c r="O46" s="398"/>
      <c r="P46" s="398"/>
      <c r="Q46" s="398"/>
      <c r="R46" s="398"/>
      <c r="S46" s="398"/>
      <c r="T46" s="398"/>
      <c r="U46" s="398"/>
      <c r="V46" s="398"/>
      <c r="W46" s="398"/>
      <c r="X46" s="398"/>
      <c r="Y46" s="398"/>
      <c r="Z46" s="398"/>
      <c r="AA46" s="398"/>
      <c r="AB46" s="398"/>
      <c r="AC46" s="398"/>
      <c r="AD46" s="398"/>
    </row>
    <row r="47" spans="1:32" x14ac:dyDescent="0.25">
      <c r="J47" s="342"/>
      <c r="K47" s="342"/>
    </row>
    <row r="48" spans="1:32" x14ac:dyDescent="0.25">
      <c r="J48" s="342"/>
      <c r="K48" s="342"/>
      <c r="L48" s="342"/>
      <c r="M48" s="342"/>
      <c r="N48" s="342"/>
      <c r="O48" s="342"/>
    </row>
    <row r="49" spans="10:32" x14ac:dyDescent="0.25">
      <c r="J49" s="342"/>
      <c r="K49" s="342"/>
    </row>
    <row r="50" spans="10:32" s="450" customFormat="1" ht="12.75" hidden="1" thickBot="1" x14ac:dyDescent="0.3">
      <c r="AF50" s="451"/>
    </row>
    <row r="51" spans="10:32" ht="12.75" hidden="1" thickTop="1" x14ac:dyDescent="0.25">
      <c r="J51" s="342"/>
      <c r="K51" s="342"/>
    </row>
    <row r="52" spans="10:32" hidden="1" x14ac:dyDescent="0.25">
      <c r="J52" s="342"/>
      <c r="K52" s="342"/>
    </row>
    <row r="53" spans="10:32" hidden="1" x14ac:dyDescent="0.25">
      <c r="J53" s="436">
        <v>0</v>
      </c>
      <c r="K53" s="436">
        <v>1</v>
      </c>
      <c r="L53" s="436">
        <v>2</v>
      </c>
      <c r="M53" s="436">
        <v>3</v>
      </c>
      <c r="N53" s="436">
        <v>4</v>
      </c>
      <c r="O53" s="436">
        <v>5</v>
      </c>
      <c r="P53" s="436">
        <v>6</v>
      </c>
      <c r="Q53" s="436">
        <v>7</v>
      </c>
      <c r="R53" s="436">
        <v>8</v>
      </c>
      <c r="S53" s="436">
        <v>9</v>
      </c>
      <c r="T53" s="436">
        <v>10</v>
      </c>
      <c r="U53" s="436">
        <v>11</v>
      </c>
      <c r="V53" s="436">
        <v>12</v>
      </c>
      <c r="W53" s="436">
        <v>13</v>
      </c>
      <c r="X53" s="436">
        <v>14</v>
      </c>
      <c r="Y53" s="436">
        <v>15</v>
      </c>
      <c r="Z53" s="436">
        <v>16</v>
      </c>
      <c r="AA53" s="436">
        <v>17</v>
      </c>
      <c r="AB53" s="436">
        <v>18</v>
      </c>
      <c r="AC53" s="436">
        <v>19</v>
      </c>
      <c r="AD53" s="436">
        <v>20</v>
      </c>
    </row>
    <row r="54" spans="10:32" hidden="1" x14ac:dyDescent="0.25">
      <c r="J54" s="436">
        <f ca="1">YEAR(Parameters!J99)</f>
        <v>2018</v>
      </c>
      <c r="K54" s="436">
        <f ca="1">$J$54+K53</f>
        <v>2019</v>
      </c>
      <c r="L54" s="436">
        <f t="shared" ref="L54:AD54" ca="1" si="16">$J$54+L53</f>
        <v>2020</v>
      </c>
      <c r="M54" s="436">
        <f t="shared" ca="1" si="16"/>
        <v>2021</v>
      </c>
      <c r="N54" s="436">
        <f t="shared" ca="1" si="16"/>
        <v>2022</v>
      </c>
      <c r="O54" s="436">
        <f t="shared" ca="1" si="16"/>
        <v>2023</v>
      </c>
      <c r="P54" s="436">
        <f t="shared" ca="1" si="16"/>
        <v>2024</v>
      </c>
      <c r="Q54" s="436">
        <f t="shared" ca="1" si="16"/>
        <v>2025</v>
      </c>
      <c r="R54" s="436">
        <f t="shared" ca="1" si="16"/>
        <v>2026</v>
      </c>
      <c r="S54" s="436">
        <f t="shared" ca="1" si="16"/>
        <v>2027</v>
      </c>
      <c r="T54" s="436">
        <f t="shared" ca="1" si="16"/>
        <v>2028</v>
      </c>
      <c r="U54" s="436">
        <f t="shared" ca="1" si="16"/>
        <v>2029</v>
      </c>
      <c r="V54" s="436">
        <f t="shared" ca="1" si="16"/>
        <v>2030</v>
      </c>
      <c r="W54" s="436">
        <f t="shared" ca="1" si="16"/>
        <v>2031</v>
      </c>
      <c r="X54" s="436">
        <f t="shared" ca="1" si="16"/>
        <v>2032</v>
      </c>
      <c r="Y54" s="436">
        <f t="shared" ca="1" si="16"/>
        <v>2033</v>
      </c>
      <c r="Z54" s="436">
        <f t="shared" ca="1" si="16"/>
        <v>2034</v>
      </c>
      <c r="AA54" s="436">
        <f t="shared" ca="1" si="16"/>
        <v>2035</v>
      </c>
      <c r="AB54" s="436">
        <f t="shared" ca="1" si="16"/>
        <v>2036</v>
      </c>
      <c r="AC54" s="436">
        <f t="shared" ca="1" si="16"/>
        <v>2037</v>
      </c>
      <c r="AD54" s="436">
        <f t="shared" ca="1" si="16"/>
        <v>2038</v>
      </c>
    </row>
    <row r="55" spans="10:32" hidden="1" x14ac:dyDescent="0.25">
      <c r="J55" s="342"/>
      <c r="K55" s="342"/>
    </row>
    <row r="56" spans="10:32" x14ac:dyDescent="0.25">
      <c r="J56" s="342"/>
      <c r="K56" s="342"/>
    </row>
    <row r="57" spans="10:32" x14ac:dyDescent="0.25">
      <c r="J57" s="342"/>
      <c r="K57" s="342"/>
    </row>
    <row r="58" spans="10:32" x14ac:dyDescent="0.25">
      <c r="J58" s="342"/>
      <c r="K58" s="342"/>
    </row>
    <row r="59" spans="10:32" x14ac:dyDescent="0.25">
      <c r="J59" s="342"/>
      <c r="K59" s="342"/>
    </row>
    <row r="60" spans="10:32" x14ac:dyDescent="0.25">
      <c r="J60" s="342"/>
      <c r="K60" s="342"/>
    </row>
    <row r="61" spans="10:32" x14ac:dyDescent="0.25">
      <c r="J61" s="342"/>
      <c r="K61" s="342"/>
    </row>
    <row r="62" spans="10:32" x14ac:dyDescent="0.25">
      <c r="J62" s="342"/>
      <c r="K62" s="342"/>
    </row>
    <row r="68" spans="9:32" x14ac:dyDescent="0.25">
      <c r="I68" s="390"/>
      <c r="AF68" s="344"/>
    </row>
    <row r="69" spans="9:32" x14ac:dyDescent="0.25">
      <c r="I69" s="390"/>
      <c r="AF69" s="344"/>
    </row>
    <row r="70" spans="9:32" x14ac:dyDescent="0.25">
      <c r="I70" s="390"/>
      <c r="AF70" s="344"/>
    </row>
    <row r="71" spans="9:32" x14ac:dyDescent="0.25">
      <c r="I71" s="390"/>
      <c r="AF71" s="344"/>
    </row>
    <row r="72" spans="9:32" x14ac:dyDescent="0.25">
      <c r="I72" s="390"/>
      <c r="AF72" s="344"/>
    </row>
    <row r="73" spans="9:32" x14ac:dyDescent="0.25">
      <c r="I73" s="390"/>
      <c r="AF73" s="344"/>
    </row>
    <row r="74" spans="9:32" x14ac:dyDescent="0.25">
      <c r="I74" s="390"/>
      <c r="AF74" s="344"/>
    </row>
    <row r="75" spans="9:32" x14ac:dyDescent="0.25">
      <c r="I75" s="390"/>
      <c r="AF75" s="344"/>
    </row>
    <row r="76" spans="9:32" x14ac:dyDescent="0.25">
      <c r="I76" s="390"/>
      <c r="AF76" s="344"/>
    </row>
    <row r="77" spans="9:32" x14ac:dyDescent="0.25">
      <c r="I77" s="390"/>
      <c r="AF77" s="344"/>
    </row>
    <row r="78" spans="9:32" x14ac:dyDescent="0.25">
      <c r="I78" s="390"/>
      <c r="AF78" s="344"/>
    </row>
    <row r="79" spans="9:32" x14ac:dyDescent="0.25">
      <c r="I79" s="390"/>
      <c r="AF79" s="344"/>
    </row>
    <row r="80" spans="9:32" x14ac:dyDescent="0.25">
      <c r="I80" s="390"/>
      <c r="AF80" s="344"/>
    </row>
    <row r="81" spans="9:32" x14ac:dyDescent="0.25">
      <c r="I81" s="390"/>
      <c r="AF81" s="344"/>
    </row>
    <row r="82" spans="9:32" x14ac:dyDescent="0.25">
      <c r="I82" s="390"/>
      <c r="AF82" s="344"/>
    </row>
    <row r="83" spans="9:32" x14ac:dyDescent="0.25">
      <c r="I83" s="390"/>
      <c r="AF83" s="344"/>
    </row>
    <row r="84" spans="9:32" x14ac:dyDescent="0.25">
      <c r="I84" s="390"/>
      <c r="AF84" s="344"/>
    </row>
    <row r="85" spans="9:32" x14ac:dyDescent="0.25">
      <c r="I85" s="390"/>
      <c r="AF85" s="344"/>
    </row>
    <row r="86" spans="9:32" x14ac:dyDescent="0.25">
      <c r="I86" s="390"/>
      <c r="AF86" s="344"/>
    </row>
    <row r="87" spans="9:32" x14ac:dyDescent="0.25">
      <c r="I87" s="390"/>
      <c r="AF87" s="344"/>
    </row>
    <row r="88" spans="9:32" x14ac:dyDescent="0.25">
      <c r="I88" s="390"/>
      <c r="AF88" s="344"/>
    </row>
    <row r="89" spans="9:32" x14ac:dyDescent="0.25">
      <c r="I89" s="390"/>
      <c r="AF89" s="344"/>
    </row>
    <row r="90" spans="9:32" x14ac:dyDescent="0.25">
      <c r="I90" s="390"/>
      <c r="AF90" s="344"/>
    </row>
    <row r="91" spans="9:32" x14ac:dyDescent="0.25">
      <c r="I91" s="390"/>
      <c r="AF91" s="344"/>
    </row>
    <row r="92" spans="9:32" x14ac:dyDescent="0.25">
      <c r="I92" s="390"/>
      <c r="AF92" s="344"/>
    </row>
    <row r="93" spans="9:32" x14ac:dyDescent="0.25">
      <c r="I93" s="390"/>
      <c r="AF93" s="344"/>
    </row>
    <row r="94" spans="9:32" x14ac:dyDescent="0.25">
      <c r="I94" s="390"/>
      <c r="AF94" s="344"/>
    </row>
    <row r="95" spans="9:32" x14ac:dyDescent="0.25">
      <c r="I95" s="390"/>
      <c r="AF95" s="344"/>
    </row>
    <row r="96" spans="9:32" x14ac:dyDescent="0.25">
      <c r="I96" s="390"/>
      <c r="AF96" s="344"/>
    </row>
    <row r="97" spans="9:32" x14ac:dyDescent="0.25">
      <c r="I97" s="390"/>
      <c r="AF97" s="344"/>
    </row>
    <row r="98" spans="9:32" x14ac:dyDescent="0.25">
      <c r="I98" s="390"/>
      <c r="AF98" s="344"/>
    </row>
    <row r="99" spans="9:32" x14ac:dyDescent="0.25">
      <c r="I99" s="390"/>
      <c r="AF99" s="344"/>
    </row>
    <row r="100" spans="9:32" x14ac:dyDescent="0.25">
      <c r="I100" s="390"/>
      <c r="AF100" s="344"/>
    </row>
    <row r="101" spans="9:32" x14ac:dyDescent="0.25">
      <c r="I101" s="390"/>
      <c r="AF101" s="344"/>
    </row>
    <row r="102" spans="9:32" x14ac:dyDescent="0.25">
      <c r="I102" s="390"/>
      <c r="AF102" s="344"/>
    </row>
    <row r="103" spans="9:32" x14ac:dyDescent="0.25">
      <c r="I103" s="390"/>
      <c r="AF103" s="344"/>
    </row>
    <row r="104" spans="9:32" x14ac:dyDescent="0.25">
      <c r="I104" s="390"/>
      <c r="AF104" s="344"/>
    </row>
    <row r="105" spans="9:32" x14ac:dyDescent="0.25">
      <c r="I105" s="390"/>
      <c r="AF105" s="344"/>
    </row>
    <row r="106" spans="9:32" x14ac:dyDescent="0.25">
      <c r="I106" s="390"/>
      <c r="AF106" s="344"/>
    </row>
    <row r="107" spans="9:32" x14ac:dyDescent="0.25">
      <c r="I107" s="390"/>
      <c r="AF107" s="344"/>
    </row>
    <row r="108" spans="9:32" x14ac:dyDescent="0.25">
      <c r="I108" s="390"/>
      <c r="AF108" s="344"/>
    </row>
    <row r="109" spans="9:32" x14ac:dyDescent="0.25">
      <c r="I109" s="390"/>
      <c r="AF109" s="344"/>
    </row>
    <row r="110" spans="9:32" x14ac:dyDescent="0.25">
      <c r="I110" s="390"/>
      <c r="AF110" s="344"/>
    </row>
    <row r="111" spans="9:32" x14ac:dyDescent="0.25">
      <c r="I111" s="390"/>
      <c r="AF111" s="344"/>
    </row>
    <row r="112" spans="9:32" x14ac:dyDescent="0.25">
      <c r="I112" s="390"/>
      <c r="AF112" s="344"/>
    </row>
    <row r="113" spans="9:32" x14ac:dyDescent="0.25">
      <c r="I113" s="390"/>
      <c r="AF113" s="344"/>
    </row>
    <row r="114" spans="9:32" x14ac:dyDescent="0.25">
      <c r="I114" s="390"/>
      <c r="AF114" s="344"/>
    </row>
    <row r="115" spans="9:32" x14ac:dyDescent="0.25">
      <c r="I115" s="390"/>
      <c r="AF115" s="344"/>
    </row>
    <row r="116" spans="9:32" x14ac:dyDescent="0.25">
      <c r="I116" s="390"/>
      <c r="AF116" s="344"/>
    </row>
    <row r="117" spans="9:32" x14ac:dyDescent="0.25">
      <c r="I117" s="390"/>
      <c r="AF117" s="344"/>
    </row>
    <row r="118" spans="9:32" x14ac:dyDescent="0.25">
      <c r="I118" s="390"/>
      <c r="AF118" s="344"/>
    </row>
    <row r="119" spans="9:32" x14ac:dyDescent="0.25">
      <c r="I119" s="390"/>
      <c r="AF119" s="344"/>
    </row>
    <row r="120" spans="9:32" x14ac:dyDescent="0.25">
      <c r="I120" s="390"/>
      <c r="AF120" s="344"/>
    </row>
    <row r="121" spans="9:32" x14ac:dyDescent="0.25">
      <c r="I121" s="390"/>
      <c r="AF121" s="344"/>
    </row>
    <row r="122" spans="9:32" x14ac:dyDescent="0.25">
      <c r="I122" s="390"/>
      <c r="AF122" s="344"/>
    </row>
    <row r="123" spans="9:32" x14ac:dyDescent="0.25">
      <c r="I123" s="390"/>
      <c r="AF123" s="344"/>
    </row>
    <row r="124" spans="9:32" x14ac:dyDescent="0.25">
      <c r="I124" s="390"/>
      <c r="AF124" s="344"/>
    </row>
    <row r="125" spans="9:32" x14ac:dyDescent="0.25">
      <c r="I125" s="390"/>
      <c r="AF125" s="344"/>
    </row>
    <row r="126" spans="9:32" x14ac:dyDescent="0.25">
      <c r="I126" s="390"/>
      <c r="AF126" s="344"/>
    </row>
    <row r="127" spans="9:32" x14ac:dyDescent="0.25">
      <c r="I127" s="390"/>
      <c r="AF127" s="344"/>
    </row>
    <row r="128" spans="9:32" x14ac:dyDescent="0.25">
      <c r="I128" s="390"/>
      <c r="AF128" s="344"/>
    </row>
    <row r="129" spans="9:32" x14ac:dyDescent="0.25">
      <c r="I129" s="390"/>
      <c r="AF129" s="344"/>
    </row>
    <row r="130" spans="9:32" x14ac:dyDescent="0.25">
      <c r="I130" s="390"/>
      <c r="AF130" s="344"/>
    </row>
    <row r="131" spans="9:32" x14ac:dyDescent="0.25">
      <c r="I131" s="390"/>
      <c r="AF131" s="344"/>
    </row>
    <row r="132" spans="9:32" x14ac:dyDescent="0.25">
      <c r="I132" s="390"/>
      <c r="AF132" s="344"/>
    </row>
    <row r="133" spans="9:32" x14ac:dyDescent="0.25">
      <c r="I133" s="390"/>
      <c r="AF133" s="344"/>
    </row>
    <row r="134" spans="9:32" x14ac:dyDescent="0.25">
      <c r="I134" s="390"/>
      <c r="AF134" s="344"/>
    </row>
    <row r="135" spans="9:32" x14ac:dyDescent="0.25">
      <c r="I135" s="390"/>
      <c r="AF135" s="344"/>
    </row>
    <row r="136" spans="9:32" x14ac:dyDescent="0.25">
      <c r="I136" s="390"/>
      <c r="AF136" s="344"/>
    </row>
    <row r="137" spans="9:32" x14ac:dyDescent="0.25">
      <c r="I137" s="390"/>
      <c r="AF137" s="344"/>
    </row>
    <row r="138" spans="9:32" x14ac:dyDescent="0.25">
      <c r="I138" s="390"/>
      <c r="AF138" s="344"/>
    </row>
    <row r="139" spans="9:32" x14ac:dyDescent="0.25">
      <c r="I139" s="390"/>
      <c r="AF139" s="344"/>
    </row>
    <row r="140" spans="9:32" x14ac:dyDescent="0.25">
      <c r="I140" s="390"/>
      <c r="AF140" s="344"/>
    </row>
    <row r="141" spans="9:32" x14ac:dyDescent="0.25">
      <c r="I141" s="390"/>
      <c r="AF141" s="344"/>
    </row>
    <row r="142" spans="9:32" x14ac:dyDescent="0.25">
      <c r="I142" s="390"/>
      <c r="AF142" s="344"/>
    </row>
  </sheetData>
  <sheetProtection password="CEB9" sheet="1" objects="1" scenarios="1" selectLockedCells="1"/>
  <mergeCells count="31">
    <mergeCell ref="D35:J35"/>
    <mergeCell ref="D37:J37"/>
    <mergeCell ref="D30:I30"/>
    <mergeCell ref="D31:I31"/>
    <mergeCell ref="D32:I32"/>
    <mergeCell ref="D33:I33"/>
    <mergeCell ref="AD2:AE2"/>
    <mergeCell ref="M2:W2"/>
    <mergeCell ref="C8:C11"/>
    <mergeCell ref="C12:C25"/>
    <mergeCell ref="J27:AD27"/>
    <mergeCell ref="D9:J9"/>
    <mergeCell ref="D10:J10"/>
    <mergeCell ref="D11:J11"/>
    <mergeCell ref="D12:J12"/>
    <mergeCell ref="X2:AC2"/>
    <mergeCell ref="D23:J23"/>
    <mergeCell ref="D24:J24"/>
    <mergeCell ref="D25:J25"/>
    <mergeCell ref="K5:AD5"/>
    <mergeCell ref="D18:J18"/>
    <mergeCell ref="D19:J19"/>
    <mergeCell ref="D8:J8"/>
    <mergeCell ref="D20:J20"/>
    <mergeCell ref="D21:J21"/>
    <mergeCell ref="D22:J22"/>
    <mergeCell ref="D13:J13"/>
    <mergeCell ref="D14:J14"/>
    <mergeCell ref="D15:J15"/>
    <mergeCell ref="D16:J16"/>
    <mergeCell ref="D17:J17"/>
  </mergeCells>
  <printOptions horizontalCentered="1"/>
  <pageMargins left="0.59055118110236227" right="0.59055118110236227" top="0.47244094488188981" bottom="0.59055118110236227" header="0.31496062992125984" footer="0.31496062992125984"/>
  <pageSetup paperSize="8"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00B050"/>
  </sheetPr>
  <dimension ref="B5:R44"/>
  <sheetViews>
    <sheetView showGridLines="0" topLeftCell="A16" zoomScalePageLayoutView="55" workbookViewId="0">
      <selection activeCell="D2" sqref="D2"/>
    </sheetView>
  </sheetViews>
  <sheetFormatPr defaultRowHeight="20.100000000000001" customHeight="1" x14ac:dyDescent="0.25"/>
  <cols>
    <col min="1" max="1" width="2.7109375" style="9" customWidth="1"/>
    <col min="2" max="2" width="3.42578125" style="9" customWidth="1"/>
    <col min="3" max="3" width="3" style="9" customWidth="1"/>
    <col min="4" max="16" width="9.140625" style="9"/>
    <col min="17" max="17" width="3.28515625" style="9" customWidth="1"/>
    <col min="18" max="18" width="2.7109375" style="9" customWidth="1"/>
    <col min="19" max="20" width="9.140625" style="9"/>
    <col min="21" max="21" width="10.140625" style="9" bestFit="1" customWidth="1"/>
    <col min="22" max="16384" width="9.140625" style="9"/>
  </cols>
  <sheetData>
    <row r="5" spans="2:17" ht="20.100000000000001" customHeight="1" x14ac:dyDescent="0.25">
      <c r="B5" s="658"/>
      <c r="C5" s="658"/>
      <c r="D5" s="658"/>
      <c r="E5" s="658"/>
      <c r="F5" s="658"/>
      <c r="G5" s="658"/>
      <c r="H5" s="658"/>
      <c r="I5" s="658"/>
      <c r="J5" s="658"/>
      <c r="K5" s="658"/>
      <c r="L5" s="658"/>
      <c r="M5" s="658"/>
      <c r="N5" s="658"/>
      <c r="O5" s="658"/>
      <c r="P5" s="658"/>
      <c r="Q5" s="658"/>
    </row>
    <row r="6" spans="2:17" ht="20.100000000000001" customHeight="1" x14ac:dyDescent="0.25">
      <c r="B6" s="658"/>
      <c r="C6" s="658"/>
      <c r="D6" s="658"/>
      <c r="E6" s="658"/>
      <c r="F6" s="658"/>
      <c r="G6" s="658"/>
      <c r="H6" s="658"/>
      <c r="I6" s="658"/>
      <c r="J6" s="658"/>
      <c r="K6" s="658"/>
      <c r="L6" s="658"/>
      <c r="M6" s="658"/>
      <c r="N6" s="658"/>
      <c r="O6" s="658"/>
      <c r="P6" s="658"/>
      <c r="Q6" s="658"/>
    </row>
    <row r="7" spans="2:17" ht="20.100000000000001" customHeight="1" x14ac:dyDescent="0.25">
      <c r="B7" s="658"/>
      <c r="C7" s="658"/>
      <c r="D7" s="658"/>
      <c r="E7" s="658"/>
      <c r="F7" s="658"/>
      <c r="G7" s="658"/>
      <c r="H7" s="658"/>
      <c r="I7" s="658"/>
      <c r="J7" s="658"/>
      <c r="K7" s="658"/>
      <c r="L7" s="658"/>
      <c r="M7" s="658"/>
      <c r="N7" s="658"/>
      <c r="O7" s="658"/>
      <c r="P7" s="658"/>
      <c r="Q7" s="658"/>
    </row>
    <row r="8" spans="2:17" ht="20.100000000000001" customHeight="1" x14ac:dyDescent="0.25">
      <c r="B8" s="658"/>
      <c r="C8" s="658"/>
      <c r="D8" s="658"/>
      <c r="E8" s="658"/>
      <c r="F8" s="658"/>
      <c r="G8" s="658"/>
      <c r="H8" s="658"/>
      <c r="I8" s="658"/>
      <c r="J8" s="658"/>
      <c r="K8" s="658"/>
      <c r="L8" s="658"/>
      <c r="M8" s="658"/>
      <c r="N8" s="658"/>
      <c r="O8" s="658"/>
      <c r="P8" s="658"/>
      <c r="Q8" s="658"/>
    </row>
    <row r="9" spans="2:17" ht="20.100000000000001" customHeight="1" x14ac:dyDescent="0.25">
      <c r="B9" s="658"/>
      <c r="C9" s="658"/>
      <c r="D9" s="658"/>
      <c r="E9" s="658"/>
      <c r="F9" s="658"/>
      <c r="G9" s="658"/>
      <c r="H9" s="658"/>
      <c r="I9" s="658"/>
      <c r="J9" s="658"/>
      <c r="K9" s="658"/>
      <c r="L9" s="658"/>
      <c r="M9" s="658"/>
      <c r="N9" s="658"/>
      <c r="O9" s="658"/>
      <c r="P9" s="658"/>
      <c r="Q9" s="658"/>
    </row>
    <row r="10" spans="2:17" ht="20.100000000000001" customHeight="1" x14ac:dyDescent="0.25">
      <c r="B10" s="658"/>
      <c r="C10" s="658"/>
      <c r="D10" s="658"/>
      <c r="E10" s="658"/>
      <c r="F10" s="658"/>
      <c r="G10" s="658"/>
      <c r="H10" s="658"/>
      <c r="I10" s="658"/>
      <c r="J10" s="658"/>
      <c r="K10" s="658"/>
      <c r="L10" s="658"/>
      <c r="M10" s="658"/>
      <c r="N10" s="658"/>
      <c r="O10" s="658"/>
      <c r="P10" s="658"/>
      <c r="Q10" s="658"/>
    </row>
    <row r="11" spans="2:17" ht="20.100000000000001" customHeight="1" x14ac:dyDescent="0.25">
      <c r="B11" s="658"/>
      <c r="C11" s="658"/>
      <c r="D11" s="658"/>
      <c r="E11" s="658"/>
      <c r="F11" s="658"/>
      <c r="G11" s="658"/>
      <c r="H11" s="658"/>
      <c r="I11" s="658"/>
      <c r="J11" s="658"/>
      <c r="K11" s="658"/>
      <c r="L11" s="658"/>
      <c r="M11" s="658"/>
      <c r="N11" s="658"/>
      <c r="O11" s="658"/>
      <c r="P11" s="658"/>
      <c r="Q11" s="658"/>
    </row>
    <row r="12" spans="2:17" ht="20.100000000000001" customHeight="1" x14ac:dyDescent="0.25">
      <c r="B12" s="658"/>
      <c r="C12" s="658"/>
      <c r="D12" s="658"/>
      <c r="E12" s="658"/>
      <c r="F12" s="658"/>
      <c r="G12" s="658"/>
      <c r="H12" s="658"/>
      <c r="I12" s="658"/>
      <c r="J12" s="658"/>
      <c r="K12" s="658"/>
      <c r="L12" s="658"/>
      <c r="M12" s="658"/>
      <c r="N12" s="658"/>
      <c r="O12" s="658"/>
      <c r="P12" s="658"/>
      <c r="Q12" s="658"/>
    </row>
    <row r="13" spans="2:17" ht="20.100000000000001" customHeight="1" x14ac:dyDescent="0.25">
      <c r="B13" s="658"/>
      <c r="C13" s="658"/>
      <c r="D13" s="658"/>
      <c r="E13" s="658"/>
      <c r="F13" s="658"/>
      <c r="G13" s="658"/>
      <c r="H13" s="658"/>
      <c r="I13" s="658"/>
      <c r="J13" s="658"/>
      <c r="K13" s="658"/>
      <c r="L13" s="658"/>
      <c r="M13" s="658"/>
      <c r="N13" s="658"/>
      <c r="O13" s="658"/>
      <c r="P13" s="658"/>
      <c r="Q13" s="658"/>
    </row>
    <row r="14" spans="2:17" ht="20.100000000000001" customHeight="1" x14ac:dyDescent="0.25">
      <c r="B14" s="658"/>
      <c r="C14" s="658"/>
      <c r="D14" s="658"/>
      <c r="E14" s="658"/>
      <c r="F14" s="658"/>
      <c r="G14" s="658"/>
      <c r="H14" s="658"/>
      <c r="I14" s="658"/>
      <c r="J14" s="658"/>
      <c r="K14" s="658"/>
      <c r="L14" s="658"/>
      <c r="M14" s="658"/>
      <c r="N14" s="658"/>
      <c r="O14" s="658"/>
      <c r="P14" s="658"/>
      <c r="Q14" s="658"/>
    </row>
    <row r="15" spans="2:17" ht="26.25" x14ac:dyDescent="0.25">
      <c r="B15" s="662" t="s">
        <v>61</v>
      </c>
      <c r="C15" s="662"/>
      <c r="D15" s="662"/>
      <c r="E15" s="662"/>
      <c r="F15" s="662"/>
      <c r="G15" s="662"/>
      <c r="H15" s="662"/>
      <c r="I15" s="662"/>
      <c r="J15" s="662"/>
      <c r="K15" s="662"/>
      <c r="L15" s="662"/>
      <c r="M15" s="662"/>
      <c r="N15" s="662"/>
      <c r="O15" s="662"/>
      <c r="P15" s="662"/>
      <c r="Q15" s="662"/>
    </row>
    <row r="16" spans="2:17" ht="26.25" x14ac:dyDescent="0.25">
      <c r="B16" s="663" t="s">
        <v>62</v>
      </c>
      <c r="C16" s="663"/>
      <c r="D16" s="663"/>
      <c r="E16" s="663"/>
      <c r="F16" s="663"/>
      <c r="G16" s="663"/>
      <c r="H16" s="663"/>
      <c r="I16" s="663"/>
      <c r="J16" s="663"/>
      <c r="K16" s="663"/>
      <c r="L16" s="663"/>
      <c r="M16" s="663"/>
      <c r="N16" s="663"/>
      <c r="O16" s="663"/>
      <c r="P16" s="663"/>
      <c r="Q16" s="663"/>
    </row>
    <row r="17" spans="2:18" s="91" customFormat="1" ht="11.25" x14ac:dyDescent="0.25"/>
    <row r="18" spans="2:18" ht="20.100000000000001" customHeight="1" x14ac:dyDescent="0.25">
      <c r="B18" s="664" t="str">
        <f>Translation!C30</f>
        <v>Projekt sofinanciral Evropski sklad za regionalni razvoj</v>
      </c>
      <c r="C18" s="664"/>
      <c r="D18" s="664"/>
      <c r="E18" s="664"/>
      <c r="F18" s="664"/>
      <c r="G18" s="664"/>
      <c r="H18" s="664"/>
      <c r="I18" s="664"/>
      <c r="J18" s="664"/>
      <c r="K18" s="664"/>
      <c r="L18" s="664"/>
      <c r="M18" s="664"/>
      <c r="N18" s="664"/>
      <c r="O18" s="664"/>
      <c r="P18" s="664"/>
      <c r="Q18" s="664"/>
    </row>
    <row r="22" spans="2:18" ht="35.25" x14ac:dyDescent="0.25">
      <c r="B22" s="720" t="s">
        <v>64</v>
      </c>
      <c r="C22" s="720"/>
      <c r="D22" s="720"/>
      <c r="E22" s="720"/>
      <c r="F22" s="720"/>
      <c r="G22" s="720"/>
      <c r="H22" s="720"/>
      <c r="I22" s="720"/>
      <c r="J22" s="720"/>
      <c r="K22" s="720"/>
      <c r="L22" s="720"/>
      <c r="M22" s="720"/>
      <c r="N22" s="720"/>
      <c r="O22" s="720"/>
      <c r="P22" s="720"/>
      <c r="Q22" s="720"/>
    </row>
    <row r="23" spans="2:18" s="95" customFormat="1" ht="26.25" x14ac:dyDescent="0.25">
      <c r="B23" s="721" t="s">
        <v>65</v>
      </c>
      <c r="C23" s="721"/>
      <c r="D23" s="721"/>
      <c r="E23" s="721"/>
      <c r="F23" s="721"/>
      <c r="G23" s="721"/>
      <c r="H23" s="721"/>
      <c r="I23" s="721"/>
      <c r="J23" s="721"/>
      <c r="K23" s="721"/>
      <c r="L23" s="721"/>
      <c r="M23" s="721"/>
      <c r="N23" s="721"/>
      <c r="O23" s="721"/>
      <c r="P23" s="721"/>
      <c r="Q23" s="721"/>
    </row>
    <row r="24" spans="2:18" s="95" customFormat="1" ht="26.25" x14ac:dyDescent="0.25">
      <c r="B24" s="496"/>
      <c r="C24" s="496"/>
      <c r="D24" s="496"/>
      <c r="E24" s="496"/>
      <c r="F24" s="496"/>
      <c r="G24" s="496"/>
      <c r="H24" s="496"/>
      <c r="I24" s="496"/>
      <c r="J24" s="496"/>
      <c r="K24" s="496"/>
      <c r="L24" s="496"/>
      <c r="M24" s="496"/>
      <c r="N24" s="496"/>
      <c r="O24" s="496"/>
      <c r="P24" s="496"/>
      <c r="Q24" s="496"/>
    </row>
    <row r="25" spans="2:18" s="400" customFormat="1" ht="15" x14ac:dyDescent="0.25">
      <c r="B25" s="523"/>
      <c r="C25" s="523"/>
      <c r="D25" s="523"/>
      <c r="E25" s="523"/>
      <c r="F25" s="523"/>
      <c r="G25" s="523"/>
      <c r="H25" s="523"/>
      <c r="I25" s="523"/>
      <c r="J25" s="523"/>
      <c r="K25" s="523"/>
      <c r="L25" s="523"/>
      <c r="M25" s="523"/>
      <c r="N25" s="523"/>
      <c r="O25" s="523"/>
      <c r="P25" s="523"/>
      <c r="Q25" s="523"/>
    </row>
    <row r="26" spans="2:18" s="400" customFormat="1" ht="15" x14ac:dyDescent="0.25">
      <c r="B26" s="523"/>
      <c r="C26" s="523"/>
      <c r="D26" s="523"/>
      <c r="E26" s="523"/>
      <c r="F26" s="523"/>
      <c r="G26" s="523"/>
      <c r="H26" s="523"/>
      <c r="I26" s="523"/>
      <c r="J26" s="523"/>
      <c r="K26" s="523"/>
      <c r="L26" s="523"/>
      <c r="M26" s="523"/>
      <c r="N26" s="523"/>
      <c r="O26" s="523"/>
      <c r="P26" s="523"/>
      <c r="Q26" s="523"/>
    </row>
    <row r="27" spans="2:18" ht="123.75" customHeight="1" x14ac:dyDescent="0.2">
      <c r="B27" s="96"/>
      <c r="C27" s="96"/>
      <c r="D27" s="96"/>
      <c r="E27" s="719" t="str">
        <f>Translation!C218&amp;": "&amp;Translation!C219&amp;", "&amp;Translation!C220&amp;", "&amp;Translation!C221&amp;", "&amp;Translation!C222&amp;", "&amp;Translation!C223&amp;", "&amp;Translation!C224&amp;", "&amp;Translation!C225&amp;", "&amp;Translation!C226&amp;"."</f>
        <v>To orodje so razvili projektni partnerji v okviru projekta SISMA: INFORMEST, Goriška lokalna energetska agencija - GOLEA, Konzorcij RIBERA, Energetska agencija Firence - AFE, Center za obnovljive vire energije in varčevanje z energijo - CRES, Agencija za energijo Furlanije Julijske krajine - APE FVG, Agencija za ekonomski razvoj - PREDA, Komisariat za alternativne vire energije in atomsko energijo - CEA.</v>
      </c>
      <c r="F27" s="719"/>
      <c r="G27" s="719"/>
      <c r="H27" s="719"/>
      <c r="I27" s="719"/>
      <c r="J27" s="719"/>
      <c r="K27" s="719"/>
      <c r="L27" s="719"/>
      <c r="M27" s="719"/>
      <c r="N27" s="719"/>
      <c r="O27" s="719"/>
      <c r="P27" s="96"/>
      <c r="Q27" s="96"/>
      <c r="R27" s="96"/>
    </row>
    <row r="28" spans="2:18" ht="15" x14ac:dyDescent="0.25"/>
    <row r="29" spans="2:18" ht="116.25" customHeight="1" x14ac:dyDescent="0.25">
      <c r="B29" s="96"/>
      <c r="C29" s="96"/>
      <c r="D29" s="96"/>
      <c r="E29" s="668" t="str">
        <f>Translation!C227&amp;" "&amp;Translation!C228&amp;" "&amp;Translation!C229</f>
        <v>Predlagana metoda izračuna je poenostavljena metoda za predhodno oceno energetskih in finančnih vidikov, povezanih z naložbami v energetsko učinkovitost javnih stavb. To orodje ne nadomešča podrobnih tehničnih in ekonomskih analiz, ki jih morajo opraviti strokovnjaki z zadevnega področja. Avtorji ne prevzemajo nikakršne odgovornosti za neustrezno uporabo tega orodja kot tudi ne za morebitne napake v izračunu, ki se lahko pojavijo pri drugih ocenah, opravljenih na drugačen način.</v>
      </c>
      <c r="F29" s="668"/>
      <c r="G29" s="668"/>
      <c r="H29" s="668"/>
      <c r="I29" s="668"/>
      <c r="J29" s="668"/>
      <c r="K29" s="668"/>
      <c r="L29" s="668"/>
      <c r="M29" s="668"/>
      <c r="N29" s="668"/>
      <c r="O29" s="668"/>
      <c r="P29" s="96"/>
      <c r="Q29" s="96"/>
      <c r="R29" s="96"/>
    </row>
    <row r="30" spans="2:18" ht="19.5" customHeight="1" x14ac:dyDescent="0.25">
      <c r="E30" s="565" t="s">
        <v>1730</v>
      </c>
      <c r="F30" s="344"/>
      <c r="G30" s="344"/>
      <c r="H30" s="344"/>
      <c r="I30" s="344"/>
      <c r="J30" s="344"/>
      <c r="K30" s="344"/>
      <c r="L30" s="344"/>
      <c r="M30" s="344"/>
      <c r="N30" s="344"/>
      <c r="O30" s="344"/>
    </row>
    <row r="31" spans="2:18" ht="19.5" customHeight="1" x14ac:dyDescent="0.25"/>
    <row r="40" spans="2:17" ht="20.100000000000001" customHeight="1" x14ac:dyDescent="0.25">
      <c r="B40" s="656"/>
      <c r="C40" s="656"/>
      <c r="D40" s="656"/>
      <c r="E40" s="656"/>
      <c r="F40" s="656"/>
      <c r="G40" s="656"/>
      <c r="H40" s="656"/>
      <c r="I40" s="656"/>
      <c r="J40" s="656"/>
      <c r="K40" s="656"/>
      <c r="L40" s="656"/>
      <c r="M40" s="656"/>
      <c r="N40" s="656"/>
      <c r="O40" s="656"/>
      <c r="P40" s="656"/>
      <c r="Q40" s="656"/>
    </row>
    <row r="41" spans="2:17" ht="20.100000000000001" customHeight="1" x14ac:dyDescent="0.25">
      <c r="B41" s="657"/>
      <c r="C41" s="657"/>
      <c r="D41" s="657"/>
      <c r="E41" s="657"/>
      <c r="F41" s="657"/>
      <c r="G41" s="657"/>
      <c r="H41" s="657"/>
      <c r="I41" s="657"/>
      <c r="J41" s="657"/>
      <c r="K41" s="657"/>
      <c r="L41" s="657"/>
      <c r="M41" s="657"/>
      <c r="N41" s="657"/>
      <c r="O41" s="657"/>
      <c r="P41" s="657"/>
      <c r="Q41" s="657"/>
    </row>
    <row r="42" spans="2:17" ht="20.100000000000001" customHeight="1" x14ac:dyDescent="0.25">
      <c r="B42" s="657"/>
      <c r="C42" s="657"/>
      <c r="D42" s="657"/>
      <c r="E42" s="657"/>
      <c r="F42" s="657"/>
      <c r="G42" s="657"/>
      <c r="H42" s="657"/>
      <c r="I42" s="657"/>
      <c r="J42" s="657"/>
      <c r="K42" s="657"/>
      <c r="L42" s="657"/>
      <c r="M42" s="657"/>
      <c r="N42" s="657"/>
      <c r="O42" s="657"/>
      <c r="P42" s="657"/>
      <c r="Q42" s="657"/>
    </row>
    <row r="43" spans="2:17" ht="20.100000000000001" customHeight="1" x14ac:dyDescent="0.25">
      <c r="B43" s="657"/>
      <c r="C43" s="657"/>
      <c r="D43" s="657"/>
      <c r="E43" s="657"/>
      <c r="F43" s="657"/>
      <c r="G43" s="657"/>
      <c r="H43" s="657"/>
      <c r="I43" s="657"/>
      <c r="J43" s="657"/>
      <c r="K43" s="657"/>
      <c r="L43" s="657"/>
      <c r="M43" s="657"/>
      <c r="N43" s="657"/>
      <c r="O43" s="657"/>
      <c r="P43" s="657"/>
      <c r="Q43" s="657"/>
    </row>
    <row r="44" spans="2:17" ht="20.100000000000001" customHeight="1" x14ac:dyDescent="0.25">
      <c r="B44" s="657"/>
      <c r="C44" s="657"/>
      <c r="D44" s="657"/>
      <c r="E44" s="657"/>
      <c r="F44" s="657"/>
      <c r="G44" s="657"/>
      <c r="H44" s="657"/>
      <c r="I44" s="657"/>
      <c r="J44" s="657"/>
      <c r="K44" s="657"/>
      <c r="L44" s="657"/>
      <c r="M44" s="657"/>
      <c r="N44" s="657"/>
      <c r="O44" s="657"/>
      <c r="P44" s="657"/>
      <c r="Q44" s="657"/>
    </row>
  </sheetData>
  <sheetProtection password="CEF9" sheet="1" objects="1" scenarios="1" selectLockedCells="1"/>
  <mergeCells count="9">
    <mergeCell ref="E29:O29"/>
    <mergeCell ref="B40:Q44"/>
    <mergeCell ref="E27:O27"/>
    <mergeCell ref="B5:Q14"/>
    <mergeCell ref="B15:Q15"/>
    <mergeCell ref="B16:Q16"/>
    <mergeCell ref="B18:Q18"/>
    <mergeCell ref="B22:Q22"/>
    <mergeCell ref="B23:Q23"/>
  </mergeCells>
  <printOptions horizontalCentered="1"/>
  <pageMargins left="0.19685039370078741" right="0.19685039370078741" top="0.47244094488188981" bottom="0.59055118110236227"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FF0000"/>
  </sheetPr>
  <dimension ref="A1:L229"/>
  <sheetViews>
    <sheetView workbookViewId="0">
      <pane xSplit="1" ySplit="2" topLeftCell="B3" activePane="bottomRight" state="frozen"/>
      <selection pane="topRight" activeCell="B1" sqref="B1"/>
      <selection pane="bottomLeft" activeCell="A3" sqref="A3"/>
      <selection pane="bottomRight" activeCell="J3" sqref="J3"/>
    </sheetView>
  </sheetViews>
  <sheetFormatPr defaultRowHeight="12" x14ac:dyDescent="0.25"/>
  <cols>
    <col min="1" max="1" width="6.140625" style="520" customWidth="1"/>
    <col min="2" max="2" width="9.140625" style="520"/>
    <col min="3" max="3" width="26.7109375" style="520" customWidth="1"/>
    <col min="4" max="4" width="9.140625" style="520"/>
    <col min="5" max="5" width="26.7109375" style="520" customWidth="1"/>
    <col min="6" max="6" width="26.7109375" style="521" customWidth="1"/>
    <col min="7" max="7" width="26.7109375" style="654" customWidth="1"/>
    <col min="8" max="8" width="26.7109375" style="520" customWidth="1"/>
    <col min="9" max="12" width="26.7109375" style="521" customWidth="1"/>
    <col min="13" max="16384" width="9.140625" style="522"/>
  </cols>
  <sheetData>
    <row r="1" spans="1:12" s="519" customFormat="1" x14ac:dyDescent="0.25">
      <c r="A1" s="517"/>
      <c r="B1" s="517"/>
      <c r="C1" s="518">
        <f>'1'!F55</f>
        <v>6</v>
      </c>
      <c r="D1" s="517"/>
      <c r="E1" s="518">
        <v>1</v>
      </c>
      <c r="F1" s="518">
        <v>2</v>
      </c>
      <c r="G1" s="653">
        <v>3</v>
      </c>
      <c r="H1" s="518">
        <v>4</v>
      </c>
      <c r="I1" s="518">
        <v>5</v>
      </c>
      <c r="J1" s="518">
        <v>6</v>
      </c>
      <c r="K1" s="518">
        <v>7</v>
      </c>
      <c r="L1" s="518">
        <v>8</v>
      </c>
    </row>
    <row r="2" spans="1:12" s="519" customFormat="1" x14ac:dyDescent="0.25">
      <c r="A2" s="517" t="s">
        <v>72</v>
      </c>
      <c r="B2" s="517" t="s">
        <v>71</v>
      </c>
      <c r="C2" s="518" t="s">
        <v>70</v>
      </c>
      <c r="D2" s="517" t="str">
        <f>B2</f>
        <v>No.</v>
      </c>
      <c r="E2" s="518" t="s">
        <v>68</v>
      </c>
      <c r="F2" s="527" t="s">
        <v>1439</v>
      </c>
      <c r="G2" s="527" t="s">
        <v>1731</v>
      </c>
      <c r="H2" s="527" t="s">
        <v>1251</v>
      </c>
      <c r="I2" s="518" t="s">
        <v>67</v>
      </c>
      <c r="J2" s="527" t="s">
        <v>1906</v>
      </c>
      <c r="K2" s="527" t="s">
        <v>875</v>
      </c>
      <c r="L2" s="525" t="s">
        <v>69</v>
      </c>
    </row>
    <row r="3" spans="1:12" x14ac:dyDescent="0.25">
      <c r="A3" s="722" t="s">
        <v>90</v>
      </c>
      <c r="B3" s="517">
        <v>3</v>
      </c>
      <c r="C3" s="520" t="str">
        <f t="shared" ref="C3:C34" si="0">IF(VLOOKUP(B3,$D:$L,$C$1+1,FALSE)="","",VLOOKUP(B3,$D:$L,$C$1+1,FALSE))</f>
        <v>Kd</v>
      </c>
      <c r="D3" s="517">
        <f>B3</f>
        <v>3</v>
      </c>
      <c r="E3" s="520" t="s">
        <v>43</v>
      </c>
      <c r="F3" s="521" t="s">
        <v>43</v>
      </c>
      <c r="G3" s="654" t="s">
        <v>43</v>
      </c>
      <c r="H3" s="521" t="s">
        <v>43</v>
      </c>
      <c r="I3" s="520" t="s">
        <v>43</v>
      </c>
      <c r="J3" s="797" t="s">
        <v>43</v>
      </c>
      <c r="K3" s="521" t="s">
        <v>43</v>
      </c>
      <c r="L3" s="521" t="s">
        <v>43</v>
      </c>
    </row>
    <row r="4" spans="1:12" x14ac:dyDescent="0.25">
      <c r="A4" s="723"/>
      <c r="B4" s="517">
        <v>4</v>
      </c>
      <c r="C4" s="520" t="str">
        <f t="shared" si="0"/>
        <v>K</v>
      </c>
      <c r="D4" s="517">
        <f t="shared" ref="D4:D59" si="1">B4</f>
        <v>4</v>
      </c>
      <c r="E4" s="520" t="s">
        <v>408</v>
      </c>
      <c r="F4" s="521" t="s">
        <v>408</v>
      </c>
      <c r="G4" s="654" t="s">
        <v>408</v>
      </c>
      <c r="H4" s="521" t="s">
        <v>408</v>
      </c>
      <c r="I4" s="520" t="s">
        <v>408</v>
      </c>
      <c r="J4" s="797" t="s">
        <v>408</v>
      </c>
      <c r="K4" s="521" t="s">
        <v>408</v>
      </c>
      <c r="L4" s="521" t="s">
        <v>408</v>
      </c>
    </row>
    <row r="5" spans="1:12" x14ac:dyDescent="0.25">
      <c r="A5" s="723"/>
      <c r="B5" s="517">
        <v>5</v>
      </c>
      <c r="C5" s="520" t="str">
        <f t="shared" si="0"/>
        <v>d</v>
      </c>
      <c r="D5" s="517">
        <f t="shared" si="1"/>
        <v>5</v>
      </c>
      <c r="E5" s="520" t="s">
        <v>416</v>
      </c>
      <c r="F5" s="521" t="s">
        <v>416</v>
      </c>
      <c r="G5" s="654" t="s">
        <v>416</v>
      </c>
      <c r="H5" s="521" t="s">
        <v>416</v>
      </c>
      <c r="I5" s="520" t="s">
        <v>416</v>
      </c>
      <c r="J5" s="797" t="s">
        <v>416</v>
      </c>
      <c r="K5" s="521" t="s">
        <v>416</v>
      </c>
      <c r="L5" s="521" t="s">
        <v>416</v>
      </c>
    </row>
    <row r="6" spans="1:12" x14ac:dyDescent="0.25">
      <c r="A6" s="723"/>
      <c r="B6" s="517">
        <v>6</v>
      </c>
      <c r="C6" s="520" t="str">
        <f t="shared" si="0"/>
        <v>m³</v>
      </c>
      <c r="D6" s="517">
        <f t="shared" si="1"/>
        <v>6</v>
      </c>
      <c r="E6" s="520" t="s">
        <v>88</v>
      </c>
      <c r="F6" s="521" t="s">
        <v>88</v>
      </c>
      <c r="G6" s="654" t="s">
        <v>88</v>
      </c>
      <c r="H6" s="521" t="s">
        <v>88</v>
      </c>
      <c r="I6" s="520" t="s">
        <v>741</v>
      </c>
      <c r="J6" s="797" t="s">
        <v>88</v>
      </c>
      <c r="K6" s="521" t="s">
        <v>88</v>
      </c>
      <c r="L6" s="521" t="s">
        <v>88</v>
      </c>
    </row>
    <row r="7" spans="1:12" x14ac:dyDescent="0.25">
      <c r="A7" s="723"/>
      <c r="B7" s="517">
        <v>7</v>
      </c>
      <c r="C7" s="520" t="str">
        <f t="shared" si="0"/>
        <v>m²</v>
      </c>
      <c r="D7" s="517">
        <f t="shared" si="1"/>
        <v>7</v>
      </c>
      <c r="E7" s="520" t="s">
        <v>89</v>
      </c>
      <c r="F7" s="521" t="s">
        <v>89</v>
      </c>
      <c r="G7" s="654" t="s">
        <v>89</v>
      </c>
      <c r="H7" s="521" t="s">
        <v>89</v>
      </c>
      <c r="I7" s="520" t="s">
        <v>742</v>
      </c>
      <c r="J7" s="797" t="s">
        <v>89</v>
      </c>
      <c r="K7" s="521" t="s">
        <v>89</v>
      </c>
      <c r="L7" s="521" t="s">
        <v>89</v>
      </c>
    </row>
    <row r="8" spans="1:12" x14ac:dyDescent="0.25">
      <c r="A8" s="723"/>
      <c r="B8" s="517">
        <v>8</v>
      </c>
      <c r="C8" s="520" t="str">
        <f t="shared" si="0"/>
        <v>cm</v>
      </c>
      <c r="D8" s="517">
        <f t="shared" si="1"/>
        <v>8</v>
      </c>
      <c r="E8" s="520" t="s">
        <v>91</v>
      </c>
      <c r="F8" s="521" t="s">
        <v>91</v>
      </c>
      <c r="G8" s="654" t="s">
        <v>91</v>
      </c>
      <c r="H8" s="521" t="s">
        <v>91</v>
      </c>
      <c r="I8" s="520" t="s">
        <v>91</v>
      </c>
      <c r="J8" s="797" t="s">
        <v>91</v>
      </c>
      <c r="K8" s="521" t="s">
        <v>91</v>
      </c>
      <c r="L8" s="521" t="s">
        <v>91</v>
      </c>
    </row>
    <row r="9" spans="1:12" x14ac:dyDescent="0.25">
      <c r="A9" s="723"/>
      <c r="B9" s="517">
        <v>9</v>
      </c>
      <c r="C9" s="520" t="str">
        <f t="shared" si="0"/>
        <v>m</v>
      </c>
      <c r="D9" s="517">
        <f t="shared" si="1"/>
        <v>9</v>
      </c>
      <c r="E9" s="520" t="s">
        <v>301</v>
      </c>
      <c r="F9" s="521" t="s">
        <v>301</v>
      </c>
      <c r="G9" s="654" t="s">
        <v>301</v>
      </c>
      <c r="H9" s="521" t="s">
        <v>301</v>
      </c>
      <c r="I9" s="520" t="s">
        <v>301</v>
      </c>
      <c r="J9" s="797" t="s">
        <v>301</v>
      </c>
      <c r="K9" s="521" t="s">
        <v>301</v>
      </c>
      <c r="L9" s="521" t="s">
        <v>301</v>
      </c>
    </row>
    <row r="10" spans="1:12" x14ac:dyDescent="0.25">
      <c r="A10" s="723"/>
      <c r="B10" s="517">
        <v>10</v>
      </c>
      <c r="C10" s="520" t="str">
        <f t="shared" si="0"/>
        <v>€</v>
      </c>
      <c r="D10" s="517">
        <f t="shared" si="1"/>
        <v>10</v>
      </c>
      <c r="E10" s="520" t="s">
        <v>50</v>
      </c>
      <c r="F10" s="521" t="s">
        <v>50</v>
      </c>
      <c r="G10" s="654" t="s">
        <v>50</v>
      </c>
      <c r="H10" s="521" t="s">
        <v>50</v>
      </c>
      <c r="I10" s="520" t="s">
        <v>50</v>
      </c>
      <c r="J10" s="797" t="s">
        <v>50</v>
      </c>
      <c r="K10" s="521" t="s">
        <v>50</v>
      </c>
      <c r="L10" s="521" t="s">
        <v>50</v>
      </c>
    </row>
    <row r="11" spans="1:12" x14ac:dyDescent="0.25">
      <c r="A11" s="723"/>
      <c r="B11" s="517">
        <v>11</v>
      </c>
      <c r="C11" s="520" t="str">
        <f t="shared" si="0"/>
        <v>€/kWh</v>
      </c>
      <c r="D11" s="517">
        <f t="shared" si="1"/>
        <v>11</v>
      </c>
      <c r="E11" s="520" t="s">
        <v>92</v>
      </c>
      <c r="F11" s="521" t="s">
        <v>92</v>
      </c>
      <c r="G11" s="654" t="s">
        <v>92</v>
      </c>
      <c r="H11" s="521" t="s">
        <v>92</v>
      </c>
      <c r="I11" s="520" t="s">
        <v>92</v>
      </c>
      <c r="J11" s="797" t="s">
        <v>92</v>
      </c>
      <c r="K11" s="521" t="s">
        <v>92</v>
      </c>
      <c r="L11" s="521" t="s">
        <v>92</v>
      </c>
    </row>
    <row r="12" spans="1:12" x14ac:dyDescent="0.25">
      <c r="A12" s="723"/>
      <c r="B12" s="517">
        <v>12</v>
      </c>
      <c r="C12" s="520" t="str">
        <f t="shared" si="0"/>
        <v>kW</v>
      </c>
      <c r="D12" s="517">
        <f t="shared" si="1"/>
        <v>12</v>
      </c>
      <c r="E12" s="520" t="s">
        <v>26</v>
      </c>
      <c r="F12" s="521" t="s">
        <v>26</v>
      </c>
      <c r="G12" s="654" t="s">
        <v>26</v>
      </c>
      <c r="H12" s="521" t="s">
        <v>26</v>
      </c>
      <c r="I12" s="520" t="s">
        <v>26</v>
      </c>
      <c r="J12" s="797" t="s">
        <v>26</v>
      </c>
      <c r="K12" s="521" t="s">
        <v>26</v>
      </c>
      <c r="L12" s="521" t="s">
        <v>26</v>
      </c>
    </row>
    <row r="13" spans="1:12" x14ac:dyDescent="0.25">
      <c r="A13" s="723"/>
      <c r="B13" s="517">
        <v>13</v>
      </c>
      <c r="C13" s="520" t="str">
        <f t="shared" si="0"/>
        <v>W</v>
      </c>
      <c r="D13" s="517">
        <f t="shared" si="1"/>
        <v>13</v>
      </c>
      <c r="E13" s="520" t="s">
        <v>280</v>
      </c>
      <c r="F13" s="521" t="s">
        <v>280</v>
      </c>
      <c r="G13" s="654" t="s">
        <v>280</v>
      </c>
      <c r="H13" s="521" t="s">
        <v>280</v>
      </c>
      <c r="I13" s="520" t="s">
        <v>280</v>
      </c>
      <c r="J13" s="797" t="s">
        <v>280</v>
      </c>
      <c r="K13" s="521" t="s">
        <v>280</v>
      </c>
      <c r="L13" s="521" t="s">
        <v>280</v>
      </c>
    </row>
    <row r="14" spans="1:12" x14ac:dyDescent="0.25">
      <c r="A14" s="723"/>
      <c r="B14" s="517">
        <v>14</v>
      </c>
      <c r="C14" s="520" t="str">
        <f t="shared" si="0"/>
        <v>h</v>
      </c>
      <c r="D14" s="517">
        <f t="shared" si="1"/>
        <v>14</v>
      </c>
      <c r="E14" s="520" t="s">
        <v>320</v>
      </c>
      <c r="F14" s="521" t="s">
        <v>320</v>
      </c>
      <c r="G14" s="654" t="s">
        <v>320</v>
      </c>
      <c r="H14" s="521" t="s">
        <v>320</v>
      </c>
      <c r="I14" s="520" t="s">
        <v>320</v>
      </c>
      <c r="J14" s="797" t="s">
        <v>320</v>
      </c>
      <c r="K14" s="521" t="s">
        <v>320</v>
      </c>
      <c r="L14" s="521" t="s">
        <v>320</v>
      </c>
    </row>
    <row r="15" spans="1:12" x14ac:dyDescent="0.25">
      <c r="A15" s="723"/>
      <c r="B15" s="517">
        <v>15</v>
      </c>
      <c r="C15" s="520" t="str">
        <f t="shared" si="0"/>
        <v>kWh</v>
      </c>
      <c r="D15" s="517">
        <f t="shared" si="1"/>
        <v>15</v>
      </c>
      <c r="E15" s="520" t="s">
        <v>51</v>
      </c>
      <c r="F15" s="521" t="s">
        <v>51</v>
      </c>
      <c r="G15" s="654" t="s">
        <v>51</v>
      </c>
      <c r="H15" s="521" t="s">
        <v>51</v>
      </c>
      <c r="I15" s="520" t="s">
        <v>51</v>
      </c>
      <c r="J15" s="797" t="s">
        <v>51</v>
      </c>
      <c r="K15" s="521" t="s">
        <v>51</v>
      </c>
      <c r="L15" s="521" t="s">
        <v>51</v>
      </c>
    </row>
    <row r="16" spans="1:12" x14ac:dyDescent="0.25">
      <c r="A16" s="723"/>
      <c r="B16" s="517">
        <v>16</v>
      </c>
      <c r="C16" s="520" t="str">
        <f t="shared" si="0"/>
        <v>kWh/leto</v>
      </c>
      <c r="D16" s="517">
        <f t="shared" si="1"/>
        <v>16</v>
      </c>
      <c r="E16" s="520" t="s">
        <v>42</v>
      </c>
      <c r="F16" s="521" t="s">
        <v>1440</v>
      </c>
      <c r="G16" s="654" t="s">
        <v>42</v>
      </c>
      <c r="H16" s="521" t="s">
        <v>42</v>
      </c>
      <c r="I16" s="520" t="s">
        <v>113</v>
      </c>
      <c r="J16" s="797" t="s">
        <v>2256</v>
      </c>
      <c r="K16" s="521" t="s">
        <v>42</v>
      </c>
      <c r="L16" s="521" t="s">
        <v>42</v>
      </c>
    </row>
    <row r="17" spans="1:12" x14ac:dyDescent="0.25">
      <c r="A17" s="723"/>
      <c r="B17" s="517">
        <v>17</v>
      </c>
      <c r="C17" s="520" t="str">
        <f t="shared" si="0"/>
        <v>kWh/m²l</v>
      </c>
      <c r="D17" s="517">
        <f t="shared" si="1"/>
        <v>17</v>
      </c>
      <c r="E17" s="520" t="s">
        <v>743</v>
      </c>
      <c r="F17" s="521" t="s">
        <v>1441</v>
      </c>
      <c r="G17" s="654" t="s">
        <v>743</v>
      </c>
      <c r="H17" s="521" t="s">
        <v>1252</v>
      </c>
      <c r="I17" s="520" t="s">
        <v>744</v>
      </c>
      <c r="J17" s="797" t="s">
        <v>1907</v>
      </c>
      <c r="K17" s="521" t="s">
        <v>743</v>
      </c>
      <c r="L17" s="521" t="s">
        <v>743</v>
      </c>
    </row>
    <row r="18" spans="1:12" x14ac:dyDescent="0.25">
      <c r="A18" s="723"/>
      <c r="B18" s="517">
        <v>18</v>
      </c>
      <c r="C18" s="520" t="str">
        <f t="shared" si="0"/>
        <v>W/svetilo</v>
      </c>
      <c r="D18" s="517">
        <f t="shared" si="1"/>
        <v>18</v>
      </c>
      <c r="E18" s="520" t="s">
        <v>29</v>
      </c>
      <c r="F18" s="521" t="s">
        <v>29</v>
      </c>
      <c r="G18" s="654" t="s">
        <v>2080</v>
      </c>
      <c r="H18" s="521" t="s">
        <v>29</v>
      </c>
      <c r="I18" s="520" t="s">
        <v>29</v>
      </c>
      <c r="J18" s="797" t="s">
        <v>1908</v>
      </c>
      <c r="K18" s="521" t="s">
        <v>29</v>
      </c>
      <c r="L18" s="521" t="s">
        <v>29</v>
      </c>
    </row>
    <row r="19" spans="1:12" x14ac:dyDescent="0.25">
      <c r="A19" s="723"/>
      <c r="B19" s="517">
        <v>19</v>
      </c>
      <c r="C19" s="520" t="str">
        <f t="shared" si="0"/>
        <v>kWp</v>
      </c>
      <c r="D19" s="517">
        <f t="shared" si="1"/>
        <v>19</v>
      </c>
      <c r="E19" s="520" t="s">
        <v>110</v>
      </c>
      <c r="F19" s="521" t="s">
        <v>110</v>
      </c>
      <c r="G19" s="654" t="s">
        <v>110</v>
      </c>
      <c r="H19" s="521" t="s">
        <v>110</v>
      </c>
      <c r="I19" s="520" t="s">
        <v>110</v>
      </c>
      <c r="J19" s="797" t="s">
        <v>110</v>
      </c>
      <c r="K19" s="521" t="s">
        <v>110</v>
      </c>
      <c r="L19" s="521" t="s">
        <v>110</v>
      </c>
    </row>
    <row r="20" spans="1:12" x14ac:dyDescent="0.25">
      <c r="A20" s="723"/>
      <c r="B20" s="517">
        <v>20</v>
      </c>
      <c r="C20" s="520" t="str">
        <f t="shared" si="0"/>
        <v>€/leto</v>
      </c>
      <c r="D20" s="517">
        <f t="shared" si="1"/>
        <v>20</v>
      </c>
      <c r="E20" s="520" t="s">
        <v>54</v>
      </c>
      <c r="F20" s="521" t="s">
        <v>1442</v>
      </c>
      <c r="G20" s="654" t="s">
        <v>54</v>
      </c>
      <c r="H20" s="521" t="s">
        <v>54</v>
      </c>
      <c r="I20" s="520" t="s">
        <v>117</v>
      </c>
      <c r="J20" s="797" t="s">
        <v>2257</v>
      </c>
      <c r="K20" s="521" t="s">
        <v>54</v>
      </c>
      <c r="L20" s="521" t="s">
        <v>54</v>
      </c>
    </row>
    <row r="21" spans="1:12" x14ac:dyDescent="0.25">
      <c r="A21" s="723"/>
      <c r="B21" s="517">
        <v>21</v>
      </c>
      <c r="C21" s="520" t="str">
        <f t="shared" si="0"/>
        <v>leta</v>
      </c>
      <c r="D21" s="517">
        <f t="shared" si="1"/>
        <v>21</v>
      </c>
      <c r="E21" s="520" t="s">
        <v>55</v>
      </c>
      <c r="F21" s="521" t="s">
        <v>1443</v>
      </c>
      <c r="G21" s="654" t="s">
        <v>2081</v>
      </c>
      <c r="H21" s="521" t="s">
        <v>1253</v>
      </c>
      <c r="I21" s="520" t="s">
        <v>118</v>
      </c>
      <c r="J21" s="797" t="s">
        <v>1909</v>
      </c>
      <c r="K21" s="521" t="s">
        <v>55</v>
      </c>
      <c r="L21" s="521" t="s">
        <v>55</v>
      </c>
    </row>
    <row r="22" spans="1:12" x14ac:dyDescent="0.25">
      <c r="A22" s="723"/>
      <c r="B22" s="517">
        <v>22</v>
      </c>
      <c r="C22" s="520" t="str">
        <f t="shared" si="0"/>
        <v>Sm³</v>
      </c>
      <c r="D22" s="517">
        <f t="shared" si="1"/>
        <v>22</v>
      </c>
      <c r="E22" s="520" t="s">
        <v>669</v>
      </c>
      <c r="F22" s="521" t="s">
        <v>669</v>
      </c>
      <c r="G22" s="654" t="s">
        <v>669</v>
      </c>
      <c r="H22" s="521" t="s">
        <v>669</v>
      </c>
      <c r="I22" s="520" t="s">
        <v>264</v>
      </c>
      <c r="J22" s="797" t="s">
        <v>1910</v>
      </c>
      <c r="K22" s="521" t="s">
        <v>669</v>
      </c>
      <c r="L22" s="521" t="s">
        <v>669</v>
      </c>
    </row>
    <row r="23" spans="1:12" x14ac:dyDescent="0.25">
      <c r="A23" s="723"/>
      <c r="B23" s="517">
        <v>23</v>
      </c>
      <c r="C23" s="520" t="str">
        <f t="shared" si="0"/>
        <v>m³</v>
      </c>
      <c r="D23" s="517">
        <f t="shared" si="1"/>
        <v>23</v>
      </c>
      <c r="E23" s="520" t="s">
        <v>88</v>
      </c>
      <c r="F23" s="521" t="s">
        <v>88</v>
      </c>
      <c r="G23" s="654" t="s">
        <v>88</v>
      </c>
      <c r="H23" s="521" t="s">
        <v>88</v>
      </c>
      <c r="I23" s="520" t="s">
        <v>269</v>
      </c>
      <c r="J23" s="797" t="s">
        <v>88</v>
      </c>
      <c r="K23" s="521" t="s">
        <v>88</v>
      </c>
      <c r="L23" s="521" t="s">
        <v>88</v>
      </c>
    </row>
    <row r="24" spans="1:12" x14ac:dyDescent="0.25">
      <c r="A24" s="723"/>
      <c r="B24" s="517">
        <v>24</v>
      </c>
      <c r="C24" s="520" t="str">
        <f t="shared" si="0"/>
        <v>l</v>
      </c>
      <c r="D24" s="517">
        <f t="shared" si="1"/>
        <v>24</v>
      </c>
      <c r="E24" s="520" t="s">
        <v>265</v>
      </c>
      <c r="F24" s="521" t="s">
        <v>265</v>
      </c>
      <c r="G24" s="654" t="s">
        <v>265</v>
      </c>
      <c r="H24" s="521" t="s">
        <v>265</v>
      </c>
      <c r="I24" s="520" t="s">
        <v>265</v>
      </c>
      <c r="J24" s="797" t="s">
        <v>265</v>
      </c>
      <c r="K24" s="521" t="s">
        <v>265</v>
      </c>
      <c r="L24" s="521" t="s">
        <v>265</v>
      </c>
    </row>
    <row r="25" spans="1:12" x14ac:dyDescent="0.25">
      <c r="A25" s="723"/>
      <c r="B25" s="517">
        <v>25</v>
      </c>
      <c r="C25" s="520" t="str">
        <f t="shared" si="0"/>
        <v>kg</v>
      </c>
      <c r="D25" s="517">
        <f t="shared" si="1"/>
        <v>25</v>
      </c>
      <c r="E25" s="520" t="s">
        <v>266</v>
      </c>
      <c r="F25" s="521" t="s">
        <v>266</v>
      </c>
      <c r="G25" s="654" t="s">
        <v>266</v>
      </c>
      <c r="H25" s="521" t="s">
        <v>266</v>
      </c>
      <c r="I25" s="520" t="s">
        <v>266</v>
      </c>
      <c r="J25" s="797" t="s">
        <v>266</v>
      </c>
      <c r="K25" s="521" t="s">
        <v>266</v>
      </c>
      <c r="L25" s="521" t="s">
        <v>266</v>
      </c>
    </row>
    <row r="26" spans="1:12" x14ac:dyDescent="0.25">
      <c r="A26" s="723"/>
      <c r="B26" s="517">
        <v>26</v>
      </c>
      <c r="C26" s="520" t="str">
        <f t="shared" si="0"/>
        <v>W/m²K</v>
      </c>
      <c r="D26" s="517">
        <f t="shared" si="1"/>
        <v>26</v>
      </c>
      <c r="E26" s="520" t="s">
        <v>745</v>
      </c>
      <c r="F26" s="521" t="s">
        <v>745</v>
      </c>
      <c r="G26" s="654" t="s">
        <v>745</v>
      </c>
      <c r="H26" s="521" t="s">
        <v>1254</v>
      </c>
      <c r="I26" s="520" t="s">
        <v>745</v>
      </c>
      <c r="J26" s="797" t="s">
        <v>745</v>
      </c>
      <c r="K26" s="521" t="s">
        <v>745</v>
      </c>
      <c r="L26" s="521" t="s">
        <v>745</v>
      </c>
    </row>
    <row r="27" spans="1:12" x14ac:dyDescent="0.25">
      <c r="A27" s="723"/>
      <c r="B27" s="517">
        <v>27</v>
      </c>
      <c r="C27" s="520" t="str">
        <f t="shared" si="0"/>
        <v>°C</v>
      </c>
      <c r="D27" s="517">
        <f t="shared" si="1"/>
        <v>27</v>
      </c>
      <c r="E27" s="520" t="s">
        <v>449</v>
      </c>
      <c r="F27" s="521" t="s">
        <v>449</v>
      </c>
      <c r="G27" s="654" t="s">
        <v>449</v>
      </c>
      <c r="H27" s="521" t="s">
        <v>449</v>
      </c>
      <c r="I27" s="520" t="s">
        <v>449</v>
      </c>
      <c r="J27" s="797" t="s">
        <v>449</v>
      </c>
      <c r="K27" s="521" t="s">
        <v>449</v>
      </c>
      <c r="L27" s="521" t="s">
        <v>449</v>
      </c>
    </row>
    <row r="28" spans="1:12" x14ac:dyDescent="0.25">
      <c r="A28" s="723"/>
      <c r="B28" s="517">
        <v>28</v>
      </c>
      <c r="C28" s="520" t="str">
        <f t="shared" si="0"/>
        <v>leto</v>
      </c>
      <c r="D28" s="517">
        <f t="shared" si="1"/>
        <v>28</v>
      </c>
      <c r="E28" s="520" t="s">
        <v>135</v>
      </c>
      <c r="F28" s="521" t="s">
        <v>1444</v>
      </c>
      <c r="G28" s="654" t="s">
        <v>2082</v>
      </c>
      <c r="H28" s="521" t="s">
        <v>1255</v>
      </c>
      <c r="I28" s="520" t="s">
        <v>1</v>
      </c>
      <c r="J28" s="797" t="s">
        <v>1911</v>
      </c>
      <c r="K28" s="521" t="s">
        <v>135</v>
      </c>
      <c r="L28" s="521" t="s">
        <v>135</v>
      </c>
    </row>
    <row r="29" spans="1:12" x14ac:dyDescent="0.25">
      <c r="A29" s="724"/>
      <c r="B29" s="517">
        <v>29</v>
      </c>
      <c r="C29" s="520" t="str">
        <f t="shared" si="0"/>
        <v>J</v>
      </c>
      <c r="D29" s="517">
        <f t="shared" si="1"/>
        <v>29</v>
      </c>
      <c r="E29" s="520" t="s">
        <v>476</v>
      </c>
      <c r="F29" s="521" t="s">
        <v>476</v>
      </c>
      <c r="G29" s="654" t="s">
        <v>476</v>
      </c>
      <c r="H29" s="521" t="s">
        <v>476</v>
      </c>
      <c r="I29" s="520" t="s">
        <v>476</v>
      </c>
      <c r="J29" s="797" t="s">
        <v>476</v>
      </c>
      <c r="K29" s="521" t="s">
        <v>476</v>
      </c>
      <c r="L29" s="521" t="s">
        <v>476</v>
      </c>
    </row>
    <row r="30" spans="1:12" ht="36" x14ac:dyDescent="0.25">
      <c r="A30" s="517">
        <v>1</v>
      </c>
      <c r="B30" s="517">
        <v>30</v>
      </c>
      <c r="C30" s="520" t="str">
        <f t="shared" si="0"/>
        <v>Projekt sofinanciral Evropski sklad za regionalni razvoj</v>
      </c>
      <c r="D30" s="517">
        <f t="shared" si="1"/>
        <v>30</v>
      </c>
      <c r="E30" s="520" t="s">
        <v>63</v>
      </c>
      <c r="F30" s="521" t="s">
        <v>1445</v>
      </c>
      <c r="G30" s="654" t="s">
        <v>2083</v>
      </c>
      <c r="H30" s="521" t="s">
        <v>1256</v>
      </c>
      <c r="I30" s="520" t="s">
        <v>73</v>
      </c>
      <c r="J30" s="797" t="s">
        <v>1912</v>
      </c>
      <c r="K30" s="521" t="s">
        <v>876</v>
      </c>
      <c r="L30" s="521" t="s">
        <v>63</v>
      </c>
    </row>
    <row r="31" spans="1:12" ht="24" x14ac:dyDescent="0.25">
      <c r="A31" s="722">
        <v>2</v>
      </c>
      <c r="B31" s="517">
        <v>31</v>
      </c>
      <c r="C31" s="520" t="str">
        <f t="shared" si="0"/>
        <v>SPLOŠNE INFORMACIJE O STAVBI</v>
      </c>
      <c r="D31" s="517">
        <f t="shared" si="1"/>
        <v>31</v>
      </c>
      <c r="E31" s="520" t="s">
        <v>82</v>
      </c>
      <c r="F31" s="521" t="s">
        <v>1446</v>
      </c>
      <c r="G31" s="654" t="s">
        <v>2084</v>
      </c>
      <c r="H31" s="521" t="s">
        <v>1257</v>
      </c>
      <c r="I31" s="520" t="s">
        <v>0</v>
      </c>
      <c r="J31" s="797" t="s">
        <v>1913</v>
      </c>
      <c r="K31" s="521" t="s">
        <v>877</v>
      </c>
      <c r="L31" s="521" t="s">
        <v>82</v>
      </c>
    </row>
    <row r="32" spans="1:12" ht="24" x14ac:dyDescent="0.25">
      <c r="A32" s="723"/>
      <c r="B32" s="517">
        <v>32</v>
      </c>
      <c r="C32" s="520" t="str">
        <f t="shared" si="0"/>
        <v>SPLOŠNE INFORMACIJE</v>
      </c>
      <c r="D32" s="517">
        <f t="shared" si="1"/>
        <v>32</v>
      </c>
      <c r="E32" s="520" t="s">
        <v>209</v>
      </c>
      <c r="F32" s="521" t="s">
        <v>1447</v>
      </c>
      <c r="G32" s="654" t="s">
        <v>2085</v>
      </c>
      <c r="H32" s="521" t="s">
        <v>1258</v>
      </c>
      <c r="I32" s="520" t="s">
        <v>197</v>
      </c>
      <c r="J32" s="797" t="s">
        <v>1914</v>
      </c>
      <c r="K32" s="521" t="s">
        <v>878</v>
      </c>
      <c r="L32" s="521" t="s">
        <v>209</v>
      </c>
    </row>
    <row r="33" spans="1:12" x14ac:dyDescent="0.25">
      <c r="A33" s="723"/>
      <c r="B33" s="517">
        <v>33</v>
      </c>
      <c r="C33" s="520" t="str">
        <f t="shared" si="0"/>
        <v>Stavba</v>
      </c>
      <c r="D33" s="517">
        <f t="shared" si="1"/>
        <v>33</v>
      </c>
      <c r="E33" s="520" t="s">
        <v>199</v>
      </c>
      <c r="F33" s="521" t="s">
        <v>198</v>
      </c>
      <c r="G33" s="654" t="s">
        <v>2086</v>
      </c>
      <c r="H33" s="521" t="s">
        <v>1259</v>
      </c>
      <c r="I33" s="520" t="s">
        <v>198</v>
      </c>
      <c r="J33" s="797" t="s">
        <v>1915</v>
      </c>
      <c r="K33" s="521" t="s">
        <v>879</v>
      </c>
      <c r="L33" s="521" t="s">
        <v>199</v>
      </c>
    </row>
    <row r="34" spans="1:12" x14ac:dyDescent="0.25">
      <c r="A34" s="723"/>
      <c r="B34" s="517">
        <v>34</v>
      </c>
      <c r="C34" s="520" t="str">
        <f t="shared" si="0"/>
        <v>Naslov</v>
      </c>
      <c r="D34" s="517">
        <f t="shared" si="1"/>
        <v>34</v>
      </c>
      <c r="E34" s="520" t="s">
        <v>203</v>
      </c>
      <c r="F34" s="521" t="s">
        <v>1448</v>
      </c>
      <c r="G34" s="654" t="s">
        <v>2087</v>
      </c>
      <c r="H34" s="521" t="s">
        <v>1260</v>
      </c>
      <c r="I34" s="520" t="s">
        <v>202</v>
      </c>
      <c r="J34" s="797" t="s">
        <v>1916</v>
      </c>
      <c r="K34" s="521" t="s">
        <v>880</v>
      </c>
      <c r="L34" s="521" t="s">
        <v>203</v>
      </c>
    </row>
    <row r="35" spans="1:12" x14ac:dyDescent="0.25">
      <c r="A35" s="723"/>
      <c r="B35" s="517">
        <v>35</v>
      </c>
      <c r="C35" s="520" t="str">
        <f t="shared" ref="C35:C65" si="2">IF(VLOOKUP(B35,$D:$L,$C$1+1,FALSE)="","",VLOOKUP(B35,$D:$L,$C$1+1,FALSE))</f>
        <v>Lastnik</v>
      </c>
      <c r="D35" s="517">
        <f t="shared" si="1"/>
        <v>35</v>
      </c>
      <c r="E35" s="520" t="s">
        <v>201</v>
      </c>
      <c r="F35" s="521" t="s">
        <v>1449</v>
      </c>
      <c r="G35" s="654" t="s">
        <v>2088</v>
      </c>
      <c r="H35" s="521" t="s">
        <v>1261</v>
      </c>
      <c r="I35" s="520" t="s">
        <v>200</v>
      </c>
      <c r="J35" s="797" t="s">
        <v>1917</v>
      </c>
      <c r="K35" s="521" t="s">
        <v>881</v>
      </c>
      <c r="L35" s="521" t="s">
        <v>201</v>
      </c>
    </row>
    <row r="36" spans="1:12" x14ac:dyDescent="0.25">
      <c r="A36" s="723"/>
      <c r="B36" s="517">
        <v>36</v>
      </c>
      <c r="C36" s="520" t="str">
        <f t="shared" si="2"/>
        <v>Ustanova / Podjetje</v>
      </c>
      <c r="D36" s="517">
        <f t="shared" si="1"/>
        <v>36</v>
      </c>
      <c r="E36" s="520" t="s">
        <v>205</v>
      </c>
      <c r="F36" s="521" t="s">
        <v>1450</v>
      </c>
      <c r="G36" s="654" t="s">
        <v>2089</v>
      </c>
      <c r="H36" s="521" t="s">
        <v>1262</v>
      </c>
      <c r="I36" s="520" t="s">
        <v>204</v>
      </c>
      <c r="J36" s="797" t="s">
        <v>1918</v>
      </c>
      <c r="K36" s="521" t="s">
        <v>882</v>
      </c>
      <c r="L36" s="521" t="s">
        <v>205</v>
      </c>
    </row>
    <row r="37" spans="1:12" x14ac:dyDescent="0.25">
      <c r="A37" s="723"/>
      <c r="B37" s="517">
        <v>37</v>
      </c>
      <c r="C37" s="520" t="str">
        <f t="shared" si="2"/>
        <v>Telefonska številka / E-pošta</v>
      </c>
      <c r="D37" s="517">
        <f t="shared" si="1"/>
        <v>37</v>
      </c>
      <c r="E37" s="520" t="s">
        <v>207</v>
      </c>
      <c r="F37" s="521" t="s">
        <v>1451</v>
      </c>
      <c r="G37" s="654" t="s">
        <v>2090</v>
      </c>
      <c r="H37" s="521" t="s">
        <v>1263</v>
      </c>
      <c r="I37" s="520" t="s">
        <v>206</v>
      </c>
      <c r="J37" s="797" t="s">
        <v>1919</v>
      </c>
      <c r="K37" s="521" t="s">
        <v>207</v>
      </c>
      <c r="L37" s="521" t="s">
        <v>207</v>
      </c>
    </row>
    <row r="38" spans="1:12" x14ac:dyDescent="0.25">
      <c r="A38" s="723"/>
      <c r="B38" s="517">
        <v>38</v>
      </c>
      <c r="C38" s="520" t="str">
        <f t="shared" si="2"/>
        <v>Avtor</v>
      </c>
      <c r="D38" s="517">
        <f t="shared" si="1"/>
        <v>38</v>
      </c>
      <c r="E38" s="520" t="s">
        <v>208</v>
      </c>
      <c r="F38" s="521" t="s">
        <v>1452</v>
      </c>
      <c r="G38" s="654" t="s">
        <v>2091</v>
      </c>
      <c r="H38" s="521" t="s">
        <v>1264</v>
      </c>
      <c r="I38" s="520" t="s">
        <v>531</v>
      </c>
      <c r="J38" s="797" t="s">
        <v>1920</v>
      </c>
      <c r="K38" s="521" t="s">
        <v>883</v>
      </c>
      <c r="L38" s="521" t="s">
        <v>208</v>
      </c>
    </row>
    <row r="39" spans="1:12" x14ac:dyDescent="0.25">
      <c r="A39" s="723"/>
      <c r="B39" s="517">
        <v>39</v>
      </c>
      <c r="C39" s="520" t="str">
        <f t="shared" si="2"/>
        <v>Vrsta stavbe</v>
      </c>
      <c r="D39" s="517">
        <f t="shared" si="1"/>
        <v>39</v>
      </c>
      <c r="E39" s="520" t="s">
        <v>121</v>
      </c>
      <c r="F39" s="521" t="s">
        <v>1453</v>
      </c>
      <c r="G39" s="654" t="s">
        <v>2092</v>
      </c>
      <c r="H39" s="521" t="s">
        <v>1265</v>
      </c>
      <c r="I39" s="520" t="s">
        <v>93</v>
      </c>
      <c r="J39" s="797" t="s">
        <v>1921</v>
      </c>
      <c r="K39" s="521" t="s">
        <v>884</v>
      </c>
      <c r="L39" s="521" t="s">
        <v>121</v>
      </c>
    </row>
    <row r="40" spans="1:12" x14ac:dyDescent="0.25">
      <c r="A40" s="723"/>
      <c r="B40" s="517">
        <v>40</v>
      </c>
      <c r="C40" s="520" t="str">
        <f t="shared" si="2"/>
        <v>Šola</v>
      </c>
      <c r="D40" s="517">
        <f t="shared" si="1"/>
        <v>40</v>
      </c>
      <c r="E40" s="520" t="s">
        <v>122</v>
      </c>
      <c r="F40" s="521" t="s">
        <v>1454</v>
      </c>
      <c r="G40" s="654" t="s">
        <v>2093</v>
      </c>
      <c r="H40" s="521" t="s">
        <v>1266</v>
      </c>
      <c r="I40" s="520" t="s">
        <v>83</v>
      </c>
      <c r="J40" s="797" t="s">
        <v>1922</v>
      </c>
      <c r="K40" s="521" t="s">
        <v>885</v>
      </c>
      <c r="L40" s="521" t="s">
        <v>122</v>
      </c>
    </row>
    <row r="41" spans="1:12" x14ac:dyDescent="0.25">
      <c r="A41" s="723"/>
      <c r="B41" s="517">
        <v>41</v>
      </c>
      <c r="C41" s="520" t="str">
        <f t="shared" si="2"/>
        <v>Telovadnica</v>
      </c>
      <c r="D41" s="517">
        <f t="shared" si="1"/>
        <v>41</v>
      </c>
      <c r="E41" s="520" t="s">
        <v>123</v>
      </c>
      <c r="F41" s="521" t="s">
        <v>1455</v>
      </c>
      <c r="G41" s="654" t="s">
        <v>2094</v>
      </c>
      <c r="H41" s="521" t="s">
        <v>1267</v>
      </c>
      <c r="I41" s="520" t="s">
        <v>84</v>
      </c>
      <c r="J41" s="797" t="s">
        <v>1923</v>
      </c>
      <c r="K41" s="521" t="s">
        <v>886</v>
      </c>
      <c r="L41" s="521" t="s">
        <v>123</v>
      </c>
    </row>
    <row r="42" spans="1:12" x14ac:dyDescent="0.25">
      <c r="A42" s="723"/>
      <c r="B42" s="517">
        <v>42</v>
      </c>
      <c r="C42" s="520" t="str">
        <f t="shared" si="2"/>
        <v>Pisarne</v>
      </c>
      <c r="D42" s="517">
        <f t="shared" si="1"/>
        <v>42</v>
      </c>
      <c r="E42" s="520" t="s">
        <v>124</v>
      </c>
      <c r="F42" s="521" t="s">
        <v>1456</v>
      </c>
      <c r="G42" s="654" t="s">
        <v>2095</v>
      </c>
      <c r="H42" s="521" t="s">
        <v>1268</v>
      </c>
      <c r="I42" s="520" t="s">
        <v>85</v>
      </c>
      <c r="J42" s="797" t="s">
        <v>1924</v>
      </c>
      <c r="K42" s="521" t="s">
        <v>887</v>
      </c>
      <c r="L42" s="521" t="s">
        <v>124</v>
      </c>
    </row>
    <row r="43" spans="1:12" x14ac:dyDescent="0.25">
      <c r="A43" s="723"/>
      <c r="B43" s="517">
        <v>43</v>
      </c>
      <c r="C43" s="520" t="str">
        <f t="shared" si="2"/>
        <v>Zdravstvena ustanova</v>
      </c>
      <c r="D43" s="517">
        <f t="shared" si="1"/>
        <v>43</v>
      </c>
      <c r="E43" s="520" t="s">
        <v>125</v>
      </c>
      <c r="F43" s="521" t="s">
        <v>1457</v>
      </c>
      <c r="G43" s="654" t="s">
        <v>2096</v>
      </c>
      <c r="H43" s="521" t="s">
        <v>1269</v>
      </c>
      <c r="I43" s="520" t="s">
        <v>86</v>
      </c>
      <c r="J43" s="797" t="s">
        <v>1925</v>
      </c>
      <c r="K43" s="521" t="s">
        <v>888</v>
      </c>
      <c r="L43" s="521" t="s">
        <v>125</v>
      </c>
    </row>
    <row r="44" spans="1:12" x14ac:dyDescent="0.25">
      <c r="A44" s="723"/>
      <c r="B44" s="517">
        <v>44</v>
      </c>
      <c r="C44" s="520" t="str">
        <f t="shared" si="2"/>
        <v>Pozicija</v>
      </c>
      <c r="D44" s="517">
        <f t="shared" si="1"/>
        <v>44</v>
      </c>
      <c r="E44" s="520" t="s">
        <v>211</v>
      </c>
      <c r="F44" s="521" t="s">
        <v>1458</v>
      </c>
      <c r="G44" s="654" t="s">
        <v>211</v>
      </c>
      <c r="H44" s="521" t="s">
        <v>1270</v>
      </c>
      <c r="I44" s="520" t="s">
        <v>210</v>
      </c>
      <c r="J44" s="797" t="s">
        <v>889</v>
      </c>
      <c r="K44" s="521" t="s">
        <v>889</v>
      </c>
      <c r="L44" s="521" t="s">
        <v>211</v>
      </c>
    </row>
    <row r="45" spans="1:12" x14ac:dyDescent="0.25">
      <c r="A45" s="723"/>
      <c r="B45" s="517">
        <v>45</v>
      </c>
      <c r="C45" s="520" t="str">
        <f t="shared" si="2"/>
        <v>Samostoječa stavba</v>
      </c>
      <c r="D45" s="517">
        <f t="shared" si="1"/>
        <v>45</v>
      </c>
      <c r="E45" s="520" t="s">
        <v>217</v>
      </c>
      <c r="F45" s="521" t="s">
        <v>1459</v>
      </c>
      <c r="G45" s="654" t="s">
        <v>2097</v>
      </c>
      <c r="H45" s="521" t="s">
        <v>1271</v>
      </c>
      <c r="I45" s="520" t="s">
        <v>218</v>
      </c>
      <c r="J45" s="797" t="s">
        <v>2258</v>
      </c>
      <c r="K45" s="521" t="s">
        <v>890</v>
      </c>
      <c r="L45" s="521" t="s">
        <v>217</v>
      </c>
    </row>
    <row r="46" spans="1:12" x14ac:dyDescent="0.25">
      <c r="A46" s="723"/>
      <c r="B46" s="517">
        <v>46</v>
      </c>
      <c r="C46" s="520" t="str">
        <f t="shared" si="2"/>
        <v>Povezana na eni strani</v>
      </c>
      <c r="D46" s="517">
        <f t="shared" si="1"/>
        <v>46</v>
      </c>
      <c r="E46" s="520" t="s">
        <v>215</v>
      </c>
      <c r="F46" s="521" t="s">
        <v>1460</v>
      </c>
      <c r="G46" s="654" t="s">
        <v>2098</v>
      </c>
      <c r="H46" s="521" t="s">
        <v>1272</v>
      </c>
      <c r="I46" s="520" t="s">
        <v>213</v>
      </c>
      <c r="J46" s="797" t="s">
        <v>1926</v>
      </c>
      <c r="K46" s="521" t="s">
        <v>891</v>
      </c>
      <c r="L46" s="521" t="s">
        <v>215</v>
      </c>
    </row>
    <row r="47" spans="1:12" ht="24" x14ac:dyDescent="0.25">
      <c r="A47" s="723"/>
      <c r="B47" s="517">
        <v>47</v>
      </c>
      <c r="C47" s="520" t="str">
        <f t="shared" si="2"/>
        <v>Povezana na obeh straneh</v>
      </c>
      <c r="D47" s="517">
        <f t="shared" si="1"/>
        <v>47</v>
      </c>
      <c r="E47" s="520" t="s">
        <v>216</v>
      </c>
      <c r="F47" s="521" t="s">
        <v>1461</v>
      </c>
      <c r="G47" s="654" t="s">
        <v>2099</v>
      </c>
      <c r="H47" s="521" t="s">
        <v>1273</v>
      </c>
      <c r="I47" s="520" t="s">
        <v>212</v>
      </c>
      <c r="J47" s="797" t="s">
        <v>1927</v>
      </c>
      <c r="K47" s="521" t="s">
        <v>892</v>
      </c>
      <c r="L47" s="521" t="s">
        <v>216</v>
      </c>
    </row>
    <row r="48" spans="1:12" x14ac:dyDescent="0.25">
      <c r="A48" s="723"/>
      <c r="B48" s="517">
        <v>48</v>
      </c>
      <c r="C48" s="520" t="str">
        <f t="shared" si="2"/>
        <v>Zemljepisna širina</v>
      </c>
      <c r="D48" s="517">
        <f t="shared" si="1"/>
        <v>48</v>
      </c>
      <c r="E48" s="520" t="s">
        <v>272</v>
      </c>
      <c r="F48" s="521" t="s">
        <v>1462</v>
      </c>
      <c r="G48" s="654" t="s">
        <v>272</v>
      </c>
      <c r="H48" s="521" t="s">
        <v>1274</v>
      </c>
      <c r="I48" s="520" t="s">
        <v>271</v>
      </c>
      <c r="J48" s="797" t="s">
        <v>1928</v>
      </c>
      <c r="K48" s="521" t="s">
        <v>893</v>
      </c>
      <c r="L48" s="521" t="s">
        <v>272</v>
      </c>
    </row>
    <row r="49" spans="1:12" x14ac:dyDescent="0.25">
      <c r="A49" s="723"/>
      <c r="B49" s="517">
        <v>49</v>
      </c>
      <c r="C49" s="520" t="str">
        <f t="shared" si="2"/>
        <v>Lokacija</v>
      </c>
      <c r="D49" s="517">
        <f t="shared" si="1"/>
        <v>49</v>
      </c>
      <c r="E49" s="520" t="s">
        <v>126</v>
      </c>
      <c r="F49" s="521" t="s">
        <v>1448</v>
      </c>
      <c r="G49" s="654" t="s">
        <v>2100</v>
      </c>
      <c r="H49" s="521" t="s">
        <v>1275</v>
      </c>
      <c r="I49" s="520" t="s">
        <v>94</v>
      </c>
      <c r="J49" s="797" t="s">
        <v>894</v>
      </c>
      <c r="K49" s="521" t="s">
        <v>894</v>
      </c>
      <c r="L49" s="521" t="s">
        <v>126</v>
      </c>
    </row>
    <row r="50" spans="1:12" ht="24" x14ac:dyDescent="0.25">
      <c r="A50" s="723"/>
      <c r="B50" s="517">
        <v>50</v>
      </c>
      <c r="C50" s="520" t="str">
        <f t="shared" si="2"/>
        <v>Temperaturni primankljaj (TP)</v>
      </c>
      <c r="D50" s="517">
        <f t="shared" si="1"/>
        <v>50</v>
      </c>
      <c r="E50" s="520" t="s">
        <v>127</v>
      </c>
      <c r="F50" s="521" t="s">
        <v>1463</v>
      </c>
      <c r="G50" s="654" t="s">
        <v>2101</v>
      </c>
      <c r="H50" s="521" t="s">
        <v>1276</v>
      </c>
      <c r="I50" s="520" t="s">
        <v>399</v>
      </c>
      <c r="J50" s="797" t="s">
        <v>2259</v>
      </c>
      <c r="K50" s="521" t="s">
        <v>895</v>
      </c>
      <c r="L50" s="521" t="s">
        <v>127</v>
      </c>
    </row>
    <row r="51" spans="1:12" x14ac:dyDescent="0.25">
      <c r="A51" s="723"/>
      <c r="B51" s="517">
        <v>51</v>
      </c>
      <c r="C51" s="520" t="str">
        <f t="shared" si="2"/>
        <v>Leto igradnje</v>
      </c>
      <c r="D51" s="517">
        <f t="shared" si="1"/>
        <v>51</v>
      </c>
      <c r="E51" s="520" t="s">
        <v>130</v>
      </c>
      <c r="F51" s="521" t="s">
        <v>1464</v>
      </c>
      <c r="G51" s="654" t="s">
        <v>2102</v>
      </c>
      <c r="H51" s="521" t="s">
        <v>1277</v>
      </c>
      <c r="I51" s="520" t="s">
        <v>95</v>
      </c>
      <c r="J51" s="797" t="s">
        <v>2260</v>
      </c>
      <c r="K51" s="521" t="s">
        <v>896</v>
      </c>
      <c r="L51" s="521" t="s">
        <v>130</v>
      </c>
    </row>
    <row r="52" spans="1:12" x14ac:dyDescent="0.25">
      <c r="A52" s="723"/>
      <c r="B52" s="517">
        <v>52</v>
      </c>
      <c r="C52" s="520" t="str">
        <f t="shared" si="2"/>
        <v xml:space="preserve">Ogrevani volumen </v>
      </c>
      <c r="D52" s="517">
        <f t="shared" si="1"/>
        <v>52</v>
      </c>
      <c r="E52" s="520" t="s">
        <v>129</v>
      </c>
      <c r="F52" s="521" t="s">
        <v>1465</v>
      </c>
      <c r="G52" s="654" t="s">
        <v>2103</v>
      </c>
      <c r="H52" s="521" t="s">
        <v>1278</v>
      </c>
      <c r="I52" s="520" t="s">
        <v>96</v>
      </c>
      <c r="J52" s="797" t="s">
        <v>1929</v>
      </c>
      <c r="K52" s="521" t="s">
        <v>897</v>
      </c>
      <c r="L52" s="521" t="s">
        <v>129</v>
      </c>
    </row>
    <row r="53" spans="1:12" x14ac:dyDescent="0.25">
      <c r="A53" s="723"/>
      <c r="B53" s="517">
        <v>53</v>
      </c>
      <c r="C53" s="520" t="str">
        <f t="shared" si="2"/>
        <v>Neto uporabna površina</v>
      </c>
      <c r="D53" s="517">
        <f t="shared" si="1"/>
        <v>53</v>
      </c>
      <c r="E53" s="520" t="s">
        <v>131</v>
      </c>
      <c r="F53" s="521" t="s">
        <v>1466</v>
      </c>
      <c r="G53" s="654" t="s">
        <v>2104</v>
      </c>
      <c r="H53" s="521" t="s">
        <v>1279</v>
      </c>
      <c r="I53" s="520" t="s">
        <v>97</v>
      </c>
      <c r="J53" s="797" t="s">
        <v>2261</v>
      </c>
      <c r="K53" s="521" t="s">
        <v>898</v>
      </c>
      <c r="L53" s="521" t="s">
        <v>131</v>
      </c>
    </row>
    <row r="54" spans="1:12" x14ac:dyDescent="0.25">
      <c r="A54" s="723"/>
      <c r="B54" s="517">
        <v>54</v>
      </c>
      <c r="C54" s="520" t="str">
        <f t="shared" si="2"/>
        <v xml:space="preserve">Št. ogrevanih nadstropij </v>
      </c>
      <c r="D54" s="517">
        <f t="shared" si="1"/>
        <v>54</v>
      </c>
      <c r="E54" s="520" t="s">
        <v>128</v>
      </c>
      <c r="F54" s="521" t="s">
        <v>1467</v>
      </c>
      <c r="G54" s="654" t="s">
        <v>2105</v>
      </c>
      <c r="H54" s="521" t="s">
        <v>1280</v>
      </c>
      <c r="I54" s="520" t="s">
        <v>98</v>
      </c>
      <c r="J54" s="797" t="s">
        <v>1930</v>
      </c>
      <c r="K54" s="521" t="s">
        <v>899</v>
      </c>
      <c r="L54" s="521" t="s">
        <v>128</v>
      </c>
    </row>
    <row r="55" spans="1:12" ht="24" x14ac:dyDescent="0.25">
      <c r="A55" s="723"/>
      <c r="B55" s="517">
        <v>55</v>
      </c>
      <c r="C55" s="520" t="str">
        <f t="shared" si="2"/>
        <v>Povprečna debelina zunanjih sten</v>
      </c>
      <c r="D55" s="517">
        <f t="shared" si="1"/>
        <v>55</v>
      </c>
      <c r="E55" s="520" t="s">
        <v>132</v>
      </c>
      <c r="F55" s="521" t="s">
        <v>1468</v>
      </c>
      <c r="G55" s="654" t="s">
        <v>2106</v>
      </c>
      <c r="H55" s="521" t="s">
        <v>1281</v>
      </c>
      <c r="I55" s="520" t="s">
        <v>99</v>
      </c>
      <c r="J55" s="797" t="s">
        <v>1931</v>
      </c>
      <c r="K55" s="521" t="s">
        <v>900</v>
      </c>
      <c r="L55" s="521" t="s">
        <v>132</v>
      </c>
    </row>
    <row r="56" spans="1:12" x14ac:dyDescent="0.25">
      <c r="A56" s="723"/>
      <c r="B56" s="517">
        <v>56</v>
      </c>
      <c r="C56" s="520" t="str">
        <f t="shared" si="2"/>
        <v>Bruto tlorisna površina</v>
      </c>
      <c r="D56" s="517">
        <f t="shared" si="1"/>
        <v>56</v>
      </c>
      <c r="E56" s="520" t="s">
        <v>133</v>
      </c>
      <c r="F56" s="521" t="s">
        <v>1469</v>
      </c>
      <c r="G56" s="654" t="s">
        <v>2107</v>
      </c>
      <c r="H56" s="521" t="s">
        <v>1189</v>
      </c>
      <c r="I56" s="520" t="s">
        <v>291</v>
      </c>
      <c r="J56" s="797" t="s">
        <v>1932</v>
      </c>
      <c r="K56" s="521" t="s">
        <v>901</v>
      </c>
      <c r="L56" s="521" t="s">
        <v>133</v>
      </c>
    </row>
    <row r="57" spans="1:12" ht="36" x14ac:dyDescent="0.25">
      <c r="A57" s="723"/>
      <c r="B57" s="517">
        <v>57</v>
      </c>
      <c r="C57" s="520" t="str">
        <f t="shared" si="2"/>
        <v>Izbirni podatek, če neto notranja površina ni na voljo</v>
      </c>
      <c r="D57" s="517">
        <f t="shared" si="1"/>
        <v>57</v>
      </c>
      <c r="E57" s="520" t="s">
        <v>134</v>
      </c>
      <c r="F57" s="521" t="s">
        <v>1470</v>
      </c>
      <c r="G57" s="654" t="s">
        <v>2108</v>
      </c>
      <c r="H57" s="521" t="s">
        <v>1282</v>
      </c>
      <c r="I57" s="520" t="s">
        <v>214</v>
      </c>
      <c r="J57" s="797" t="s">
        <v>1933</v>
      </c>
      <c r="K57" s="521" t="s">
        <v>902</v>
      </c>
      <c r="L57" s="521" t="s">
        <v>134</v>
      </c>
    </row>
    <row r="58" spans="1:12" ht="24" x14ac:dyDescent="0.25">
      <c r="A58" s="723"/>
      <c r="B58" s="517">
        <v>58</v>
      </c>
      <c r="C58" s="520" t="str">
        <f t="shared" si="2"/>
        <v>UKREPI ZA ZMANJŠANJE RABE - TOPLOTNA ENERGIJA</v>
      </c>
      <c r="D58" s="517">
        <f t="shared" si="1"/>
        <v>58</v>
      </c>
      <c r="E58" s="520" t="s">
        <v>221</v>
      </c>
      <c r="F58" s="521" t="s">
        <v>1471</v>
      </c>
      <c r="G58" s="654" t="s">
        <v>2109</v>
      </c>
      <c r="H58" s="521" t="s">
        <v>1283</v>
      </c>
      <c r="I58" s="520" t="s">
        <v>223</v>
      </c>
      <c r="J58" s="797" t="s">
        <v>2262</v>
      </c>
      <c r="K58" s="521" t="s">
        <v>903</v>
      </c>
      <c r="L58" s="521" t="s">
        <v>221</v>
      </c>
    </row>
    <row r="59" spans="1:12" ht="24" x14ac:dyDescent="0.25">
      <c r="A59" s="723"/>
      <c r="B59" s="517">
        <v>59</v>
      </c>
      <c r="C59" s="520" t="str">
        <f t="shared" si="2"/>
        <v>UKREPI ZA ZMANJŠANJERABE - ELEKTRIČNA ENERGIJA</v>
      </c>
      <c r="D59" s="517">
        <f t="shared" si="1"/>
        <v>59</v>
      </c>
      <c r="E59" s="520" t="s">
        <v>222</v>
      </c>
      <c r="F59" s="521" t="s">
        <v>1472</v>
      </c>
      <c r="G59" s="654" t="s">
        <v>2110</v>
      </c>
      <c r="H59" s="521" t="s">
        <v>1284</v>
      </c>
      <c r="I59" s="520" t="s">
        <v>224</v>
      </c>
      <c r="J59" s="797" t="s">
        <v>2263</v>
      </c>
      <c r="K59" s="521" t="s">
        <v>904</v>
      </c>
      <c r="L59" s="521" t="s">
        <v>222</v>
      </c>
    </row>
    <row r="60" spans="1:12" x14ac:dyDescent="0.25">
      <c r="A60" s="723"/>
      <c r="B60" s="517">
        <v>60</v>
      </c>
      <c r="C60" s="520" t="str">
        <f t="shared" si="2"/>
        <v>raba toplote</v>
      </c>
      <c r="D60" s="517">
        <f t="shared" ref="D60:D65" si="3">B60</f>
        <v>60</v>
      </c>
      <c r="E60" s="520" t="s">
        <v>136</v>
      </c>
      <c r="F60" s="521" t="s">
        <v>1473</v>
      </c>
      <c r="G60" s="654" t="s">
        <v>2111</v>
      </c>
      <c r="H60" s="521" t="s">
        <v>1285</v>
      </c>
      <c r="I60" s="520" t="s">
        <v>30</v>
      </c>
      <c r="J60" s="797" t="s">
        <v>2264</v>
      </c>
      <c r="K60" s="521" t="s">
        <v>905</v>
      </c>
      <c r="L60" s="521" t="s">
        <v>136</v>
      </c>
    </row>
    <row r="61" spans="1:12" x14ac:dyDescent="0.25">
      <c r="A61" s="723"/>
      <c r="B61" s="517">
        <v>61</v>
      </c>
      <c r="C61" s="520" t="str">
        <f t="shared" si="2"/>
        <v>raba elektrike</v>
      </c>
      <c r="D61" s="517">
        <f t="shared" si="3"/>
        <v>61</v>
      </c>
      <c r="E61" s="520" t="s">
        <v>138</v>
      </c>
      <c r="F61" s="521" t="s">
        <v>1474</v>
      </c>
      <c r="G61" s="654" t="s">
        <v>2112</v>
      </c>
      <c r="H61" s="521" t="s">
        <v>1286</v>
      </c>
      <c r="I61" s="520" t="s">
        <v>31</v>
      </c>
      <c r="J61" s="797" t="s">
        <v>2265</v>
      </c>
      <c r="K61" s="521" t="s">
        <v>906</v>
      </c>
      <c r="L61" s="521" t="s">
        <v>138</v>
      </c>
    </row>
    <row r="62" spans="1:12" x14ac:dyDescent="0.25">
      <c r="A62" s="723"/>
      <c r="B62" s="517">
        <v>62</v>
      </c>
      <c r="C62" s="520" t="str">
        <f t="shared" si="2"/>
        <v>Merska enota</v>
      </c>
      <c r="D62" s="517">
        <f t="shared" si="3"/>
        <v>62</v>
      </c>
      <c r="E62" s="520" t="s">
        <v>220</v>
      </c>
      <c r="F62" s="521" t="s">
        <v>1475</v>
      </c>
      <c r="G62" s="654" t="s">
        <v>2113</v>
      </c>
      <c r="H62" s="521" t="s">
        <v>1169</v>
      </c>
      <c r="I62" s="520" t="s">
        <v>219</v>
      </c>
      <c r="J62" s="797" t="s">
        <v>1934</v>
      </c>
      <c r="K62" s="521" t="s">
        <v>907</v>
      </c>
      <c r="L62" s="521" t="s">
        <v>220</v>
      </c>
    </row>
    <row r="63" spans="1:12" x14ac:dyDescent="0.25">
      <c r="A63" s="723"/>
      <c r="B63" s="517">
        <v>63</v>
      </c>
      <c r="C63" s="520" t="str">
        <f t="shared" si="2"/>
        <v>letni strošek</v>
      </c>
      <c r="D63" s="517">
        <f t="shared" si="3"/>
        <v>63</v>
      </c>
      <c r="E63" s="520" t="s">
        <v>137</v>
      </c>
      <c r="F63" s="521" t="s">
        <v>1476</v>
      </c>
      <c r="G63" s="654" t="s">
        <v>2114</v>
      </c>
      <c r="H63" s="521" t="s">
        <v>1287</v>
      </c>
      <c r="I63" s="520" t="s">
        <v>2</v>
      </c>
      <c r="J63" s="797" t="s">
        <v>1935</v>
      </c>
      <c r="K63" s="521" t="s">
        <v>908</v>
      </c>
      <c r="L63" s="521" t="s">
        <v>137</v>
      </c>
    </row>
    <row r="64" spans="1:12" x14ac:dyDescent="0.25">
      <c r="A64" s="723"/>
      <c r="B64" s="517">
        <v>64</v>
      </c>
      <c r="C64" s="520" t="str">
        <f t="shared" si="2"/>
        <v>Energent</v>
      </c>
      <c r="D64" s="517">
        <f t="shared" si="3"/>
        <v>64</v>
      </c>
      <c r="E64" s="520" t="s">
        <v>191</v>
      </c>
      <c r="F64" s="521" t="s">
        <v>1477</v>
      </c>
      <c r="G64" s="654" t="s">
        <v>1477</v>
      </c>
      <c r="H64" s="521" t="s">
        <v>1288</v>
      </c>
      <c r="I64" s="520" t="s">
        <v>194</v>
      </c>
      <c r="J64" s="797" t="s">
        <v>2266</v>
      </c>
      <c r="K64" s="521" t="s">
        <v>909</v>
      </c>
      <c r="L64" s="521" t="s">
        <v>191</v>
      </c>
    </row>
    <row r="65" spans="1:12" ht="24" x14ac:dyDescent="0.25">
      <c r="A65" s="723"/>
      <c r="B65" s="517">
        <v>65</v>
      </c>
      <c r="C65" s="520" t="str">
        <f t="shared" si="2"/>
        <v>Vključno s sanitarno toplo vodo</v>
      </c>
      <c r="D65" s="517">
        <f t="shared" si="3"/>
        <v>65</v>
      </c>
      <c r="E65" s="520" t="s">
        <v>765</v>
      </c>
      <c r="F65" s="521" t="s">
        <v>1478</v>
      </c>
      <c r="G65" s="654" t="s">
        <v>2115</v>
      </c>
      <c r="H65" s="521" t="s">
        <v>1289</v>
      </c>
      <c r="I65" s="520" t="s">
        <v>493</v>
      </c>
      <c r="J65" s="797" t="s">
        <v>2267</v>
      </c>
      <c r="K65" s="521" t="s">
        <v>910</v>
      </c>
      <c r="L65" s="521" t="s">
        <v>765</v>
      </c>
    </row>
    <row r="66" spans="1:12" x14ac:dyDescent="0.25">
      <c r="A66" s="723"/>
      <c r="B66" s="517">
        <v>66</v>
      </c>
      <c r="C66" s="520" t="str">
        <f t="shared" ref="C66:C129" si="4">IF(VLOOKUP(B66,$D:$L,$C$1+1,FALSE)="","",VLOOKUP(B66,$D:$L,$C$1+1,FALSE))</f>
        <v>oba energenta</v>
      </c>
      <c r="D66" s="517">
        <f t="shared" ref="D66:D129" si="5">B66</f>
        <v>66</v>
      </c>
      <c r="E66" s="520" t="s">
        <v>2071</v>
      </c>
      <c r="F66" s="521" t="s">
        <v>2060</v>
      </c>
      <c r="G66" s="654" t="s">
        <v>2063</v>
      </c>
      <c r="H66" s="521" t="s">
        <v>2057</v>
      </c>
      <c r="I66" s="520" t="s">
        <v>1825</v>
      </c>
      <c r="J66" s="797" t="s">
        <v>2268</v>
      </c>
      <c r="K66" s="521" t="s">
        <v>2075</v>
      </c>
      <c r="L66" s="520" t="s">
        <v>2071</v>
      </c>
    </row>
    <row r="67" spans="1:12" x14ac:dyDescent="0.25">
      <c r="A67" s="723"/>
      <c r="B67" s="517">
        <v>67</v>
      </c>
      <c r="C67" s="520" t="str">
        <f t="shared" si="4"/>
        <v>samo energent 1</v>
      </c>
      <c r="D67" s="517">
        <f t="shared" si="5"/>
        <v>67</v>
      </c>
      <c r="E67" s="520" t="s">
        <v>2072</v>
      </c>
      <c r="F67" s="521" t="s">
        <v>2061</v>
      </c>
      <c r="G67" s="654" t="s">
        <v>2064</v>
      </c>
      <c r="H67" s="521" t="s">
        <v>2058</v>
      </c>
      <c r="I67" s="520" t="s">
        <v>1823</v>
      </c>
      <c r="J67" s="797" t="s">
        <v>2269</v>
      </c>
      <c r="K67" s="521" t="s">
        <v>2055</v>
      </c>
      <c r="L67" s="520" t="s">
        <v>2072</v>
      </c>
    </row>
    <row r="68" spans="1:12" x14ac:dyDescent="0.25">
      <c r="A68" s="723"/>
      <c r="B68" s="517">
        <v>68</v>
      </c>
      <c r="C68" s="520" t="str">
        <f t="shared" si="4"/>
        <v>samo energent 2</v>
      </c>
      <c r="D68" s="517">
        <f t="shared" si="5"/>
        <v>68</v>
      </c>
      <c r="E68" s="520" t="s">
        <v>2073</v>
      </c>
      <c r="F68" s="521" t="s">
        <v>2062</v>
      </c>
      <c r="G68" s="654" t="s">
        <v>2065</v>
      </c>
      <c r="H68" s="521" t="s">
        <v>2059</v>
      </c>
      <c r="I68" s="520" t="s">
        <v>1824</v>
      </c>
      <c r="J68" s="797" t="s">
        <v>2270</v>
      </c>
      <c r="K68" s="521" t="s">
        <v>2056</v>
      </c>
      <c r="L68" s="520" t="s">
        <v>2073</v>
      </c>
    </row>
    <row r="69" spans="1:12" x14ac:dyDescent="0.25">
      <c r="A69" s="723"/>
      <c r="B69" s="517">
        <v>69</v>
      </c>
      <c r="C69" s="520" t="str">
        <f t="shared" si="4"/>
        <v>Da</v>
      </c>
      <c r="D69" s="517">
        <f t="shared" si="5"/>
        <v>69</v>
      </c>
      <c r="E69" s="520" t="s">
        <v>496</v>
      </c>
      <c r="F69" s="521" t="s">
        <v>1479</v>
      </c>
      <c r="G69" s="654" t="s">
        <v>2116</v>
      </c>
      <c r="H69" s="521" t="s">
        <v>1290</v>
      </c>
      <c r="I69" s="520" t="s">
        <v>494</v>
      </c>
      <c r="J69" s="797" t="s">
        <v>911</v>
      </c>
      <c r="K69" s="521" t="s">
        <v>911</v>
      </c>
      <c r="L69" s="521" t="s">
        <v>496</v>
      </c>
    </row>
    <row r="70" spans="1:12" x14ac:dyDescent="0.25">
      <c r="A70" s="723"/>
      <c r="B70" s="517">
        <v>70</v>
      </c>
      <c r="C70" s="520" t="str">
        <f t="shared" si="4"/>
        <v>Ne</v>
      </c>
      <c r="D70" s="517">
        <f t="shared" si="5"/>
        <v>70</v>
      </c>
      <c r="E70" s="520" t="s">
        <v>495</v>
      </c>
      <c r="F70" s="521" t="s">
        <v>495</v>
      </c>
      <c r="G70" s="654" t="s">
        <v>2117</v>
      </c>
      <c r="H70" s="521" t="s">
        <v>1291</v>
      </c>
      <c r="I70" s="520" t="s">
        <v>495</v>
      </c>
      <c r="J70" s="797" t="s">
        <v>912</v>
      </c>
      <c r="K70" s="521" t="s">
        <v>912</v>
      </c>
      <c r="L70" s="521" t="s">
        <v>495</v>
      </c>
    </row>
    <row r="71" spans="1:12" x14ac:dyDescent="0.25">
      <c r="A71" s="723"/>
      <c r="B71" s="517">
        <v>71</v>
      </c>
      <c r="C71" s="520" t="str">
        <f t="shared" si="4"/>
        <v>Strošek toplotne energije</v>
      </c>
      <c r="D71" s="517">
        <f t="shared" si="5"/>
        <v>71</v>
      </c>
      <c r="E71" s="520" t="s">
        <v>192</v>
      </c>
      <c r="F71" s="521" t="s">
        <v>1480</v>
      </c>
      <c r="G71" s="654" t="s">
        <v>2118</v>
      </c>
      <c r="H71" s="521" t="s">
        <v>1292</v>
      </c>
      <c r="I71" s="520" t="s">
        <v>195</v>
      </c>
      <c r="J71" s="797" t="s">
        <v>1936</v>
      </c>
      <c r="K71" s="521" t="s">
        <v>913</v>
      </c>
      <c r="L71" s="521" t="s">
        <v>192</v>
      </c>
    </row>
    <row r="72" spans="1:12" x14ac:dyDescent="0.25">
      <c r="A72" s="724"/>
      <c r="B72" s="517">
        <v>72</v>
      </c>
      <c r="C72" s="520" t="str">
        <f t="shared" si="4"/>
        <v>Strošek električne energije</v>
      </c>
      <c r="D72" s="517">
        <f t="shared" si="5"/>
        <v>72</v>
      </c>
      <c r="E72" s="520" t="s">
        <v>193</v>
      </c>
      <c r="F72" s="521" t="s">
        <v>1481</v>
      </c>
      <c r="G72" s="654" t="s">
        <v>2119</v>
      </c>
      <c r="H72" s="521" t="s">
        <v>1293</v>
      </c>
      <c r="I72" s="520" t="s">
        <v>196</v>
      </c>
      <c r="J72" s="797" t="s">
        <v>1937</v>
      </c>
      <c r="K72" s="521" t="s">
        <v>914</v>
      </c>
      <c r="L72" s="521" t="s">
        <v>193</v>
      </c>
    </row>
    <row r="73" spans="1:12" ht="24" x14ac:dyDescent="0.25">
      <c r="A73" s="722">
        <v>3</v>
      </c>
      <c r="B73" s="517">
        <v>73</v>
      </c>
      <c r="C73" s="520" t="str">
        <f t="shared" si="4"/>
        <v>PREDVIDENI POSEGI IN OCENA NALOŽB</v>
      </c>
      <c r="D73" s="517">
        <f t="shared" si="5"/>
        <v>73</v>
      </c>
      <c r="E73" s="520" t="s">
        <v>139</v>
      </c>
      <c r="F73" s="521" t="s">
        <v>1482</v>
      </c>
      <c r="G73" s="654" t="s">
        <v>2120</v>
      </c>
      <c r="H73" s="521" t="s">
        <v>1294</v>
      </c>
      <c r="I73" s="520" t="s">
        <v>3</v>
      </c>
      <c r="J73" s="797" t="s">
        <v>1938</v>
      </c>
      <c r="K73" s="521" t="s">
        <v>915</v>
      </c>
      <c r="L73" s="521" t="s">
        <v>139</v>
      </c>
    </row>
    <row r="74" spans="1:12" ht="24" x14ac:dyDescent="0.25">
      <c r="A74" s="723"/>
      <c r="B74" s="517">
        <v>74</v>
      </c>
      <c r="C74" s="520" t="str">
        <f t="shared" si="4"/>
        <v>Izolacija fasade (ETICS)</v>
      </c>
      <c r="D74" s="517">
        <f t="shared" si="5"/>
        <v>74</v>
      </c>
      <c r="E74" s="520" t="s">
        <v>1714</v>
      </c>
      <c r="F74" s="521" t="s">
        <v>1483</v>
      </c>
      <c r="G74" s="654" t="s">
        <v>2121</v>
      </c>
      <c r="H74" s="521" t="s">
        <v>1295</v>
      </c>
      <c r="I74" s="520" t="s">
        <v>7</v>
      </c>
      <c r="J74" s="797" t="s">
        <v>2271</v>
      </c>
      <c r="K74" s="521" t="s">
        <v>916</v>
      </c>
      <c r="L74" s="521" t="s">
        <v>140</v>
      </c>
    </row>
    <row r="75" spans="1:12" ht="24" x14ac:dyDescent="0.25">
      <c r="A75" s="723"/>
      <c r="B75" s="517">
        <v>75</v>
      </c>
      <c r="C75" s="520" t="str">
        <f t="shared" si="4"/>
        <v>Notranja izolacija zunanjih sten</v>
      </c>
      <c r="D75" s="517">
        <f t="shared" si="5"/>
        <v>75</v>
      </c>
      <c r="E75" s="520" t="s">
        <v>1715</v>
      </c>
      <c r="F75" s="521" t="s">
        <v>1484</v>
      </c>
      <c r="G75" s="654" t="s">
        <v>2122</v>
      </c>
      <c r="H75" s="521" t="s">
        <v>1296</v>
      </c>
      <c r="I75" s="520" t="s">
        <v>8</v>
      </c>
      <c r="J75" s="797" t="s">
        <v>2272</v>
      </c>
      <c r="K75" s="521" t="s">
        <v>917</v>
      </c>
      <c r="L75" s="521" t="s">
        <v>141</v>
      </c>
    </row>
    <row r="76" spans="1:12" ht="24" x14ac:dyDescent="0.25">
      <c r="A76" s="723"/>
      <c r="B76" s="517">
        <v>76</v>
      </c>
      <c r="C76" s="520" t="str">
        <f t="shared" si="4"/>
        <v>Izolacija strehe</v>
      </c>
      <c r="D76" s="517">
        <f t="shared" si="5"/>
        <v>76</v>
      </c>
      <c r="E76" s="520" t="s">
        <v>1716</v>
      </c>
      <c r="F76" s="521" t="s">
        <v>1485</v>
      </c>
      <c r="G76" s="654" t="s">
        <v>2123</v>
      </c>
      <c r="H76" s="521" t="s">
        <v>1297</v>
      </c>
      <c r="I76" s="520" t="s">
        <v>286</v>
      </c>
      <c r="J76" s="797" t="s">
        <v>2273</v>
      </c>
      <c r="K76" s="521" t="s">
        <v>918</v>
      </c>
      <c r="L76" s="521" t="s">
        <v>288</v>
      </c>
    </row>
    <row r="77" spans="1:12" x14ac:dyDescent="0.25">
      <c r="A77" s="723"/>
      <c r="B77" s="517">
        <v>77</v>
      </c>
      <c r="C77" s="520" t="str">
        <f t="shared" si="4"/>
        <v>Izolacija podstrešja</v>
      </c>
      <c r="D77" s="517">
        <f t="shared" si="5"/>
        <v>77</v>
      </c>
      <c r="E77" s="520" t="s">
        <v>1717</v>
      </c>
      <c r="F77" s="521" t="s">
        <v>1486</v>
      </c>
      <c r="G77" s="654" t="s">
        <v>2124</v>
      </c>
      <c r="H77" s="521" t="s">
        <v>1298</v>
      </c>
      <c r="I77" s="520" t="s">
        <v>287</v>
      </c>
      <c r="J77" s="797" t="s">
        <v>1939</v>
      </c>
      <c r="K77" s="521" t="s">
        <v>919</v>
      </c>
      <c r="L77" s="521" t="s">
        <v>289</v>
      </c>
    </row>
    <row r="78" spans="1:12" x14ac:dyDescent="0.25">
      <c r="A78" s="723"/>
      <c r="B78" s="517">
        <v>78</v>
      </c>
      <c r="C78" s="520" t="str">
        <f t="shared" si="4"/>
        <v>Izolacija kletne etaže</v>
      </c>
      <c r="D78" s="517">
        <f t="shared" si="5"/>
        <v>78</v>
      </c>
      <c r="E78" s="520" t="s">
        <v>1718</v>
      </c>
      <c r="F78" s="521" t="s">
        <v>1487</v>
      </c>
      <c r="G78" s="654" t="s">
        <v>2125</v>
      </c>
      <c r="H78" s="521" t="s">
        <v>1299</v>
      </c>
      <c r="I78" s="520" t="s">
        <v>4</v>
      </c>
      <c r="J78" s="797" t="s">
        <v>1940</v>
      </c>
      <c r="K78" s="521" t="s">
        <v>920</v>
      </c>
      <c r="L78" s="521" t="s">
        <v>142</v>
      </c>
    </row>
    <row r="79" spans="1:12" x14ac:dyDescent="0.25">
      <c r="A79" s="723"/>
      <c r="B79" s="517">
        <v>79</v>
      </c>
      <c r="C79" s="520" t="str">
        <f t="shared" si="4"/>
        <v>Zamenjava oken</v>
      </c>
      <c r="D79" s="517">
        <f t="shared" si="5"/>
        <v>79</v>
      </c>
      <c r="E79" s="520" t="s">
        <v>143</v>
      </c>
      <c r="F79" s="521" t="s">
        <v>1488</v>
      </c>
      <c r="G79" s="654" t="s">
        <v>2126</v>
      </c>
      <c r="H79" s="521" t="s">
        <v>1300</v>
      </c>
      <c r="I79" s="520" t="s">
        <v>5</v>
      </c>
      <c r="J79" s="797" t="s">
        <v>1941</v>
      </c>
      <c r="K79" s="521" t="s">
        <v>921</v>
      </c>
      <c r="L79" s="521" t="s">
        <v>143</v>
      </c>
    </row>
    <row r="80" spans="1:12" ht="24" x14ac:dyDescent="0.25">
      <c r="A80" s="723"/>
      <c r="B80" s="517">
        <v>80</v>
      </c>
      <c r="C80" s="520" t="str">
        <f t="shared" si="4"/>
        <v>Zamenjava ogrevalnega kotla</v>
      </c>
      <c r="D80" s="517">
        <f t="shared" si="5"/>
        <v>80</v>
      </c>
      <c r="E80" s="520" t="s">
        <v>356</v>
      </c>
      <c r="F80" s="521" t="s">
        <v>1489</v>
      </c>
      <c r="G80" s="654" t="s">
        <v>2127</v>
      </c>
      <c r="H80" s="521" t="s">
        <v>1301</v>
      </c>
      <c r="I80" s="520" t="s">
        <v>355</v>
      </c>
      <c r="J80" s="797" t="s">
        <v>1942</v>
      </c>
      <c r="K80" s="521" t="s">
        <v>922</v>
      </c>
      <c r="L80" s="521" t="s">
        <v>356</v>
      </c>
    </row>
    <row r="81" spans="1:12" x14ac:dyDescent="0.25">
      <c r="A81" s="723"/>
      <c r="B81" s="517">
        <v>81</v>
      </c>
      <c r="C81" s="520" t="str">
        <f t="shared" si="4"/>
        <v>Isti energent</v>
      </c>
      <c r="D81" s="517">
        <f t="shared" si="5"/>
        <v>81</v>
      </c>
      <c r="E81" s="520" t="s">
        <v>358</v>
      </c>
      <c r="F81" s="521" t="s">
        <v>1490</v>
      </c>
      <c r="G81" s="654" t="s">
        <v>2128</v>
      </c>
      <c r="H81" s="521" t="s">
        <v>1302</v>
      </c>
      <c r="I81" s="520" t="s">
        <v>360</v>
      </c>
      <c r="J81" s="797" t="s">
        <v>2274</v>
      </c>
      <c r="K81" s="521" t="s">
        <v>923</v>
      </c>
      <c r="L81" s="521" t="s">
        <v>358</v>
      </c>
    </row>
    <row r="82" spans="1:12" ht="24" x14ac:dyDescent="0.25">
      <c r="A82" s="723"/>
      <c r="B82" s="517">
        <v>82</v>
      </c>
      <c r="C82" s="520" t="str">
        <f t="shared" si="4"/>
        <v>Zamenjava s kotlom na zemeljski plin</v>
      </c>
      <c r="D82" s="517">
        <f t="shared" si="5"/>
        <v>82</v>
      </c>
      <c r="E82" s="520" t="s">
        <v>763</v>
      </c>
      <c r="F82" s="521" t="s">
        <v>1491</v>
      </c>
      <c r="G82" s="654" t="s">
        <v>2129</v>
      </c>
      <c r="H82" s="521" t="s">
        <v>1303</v>
      </c>
      <c r="I82" s="520" t="s">
        <v>487</v>
      </c>
      <c r="J82" s="797" t="s">
        <v>2275</v>
      </c>
      <c r="K82" s="521" t="s">
        <v>924</v>
      </c>
      <c r="L82" s="521" t="s">
        <v>763</v>
      </c>
    </row>
    <row r="83" spans="1:12" ht="24" x14ac:dyDescent="0.25">
      <c r="A83" s="723"/>
      <c r="B83" s="517">
        <v>83</v>
      </c>
      <c r="C83" s="520" t="str">
        <f t="shared" si="4"/>
        <v>Zamenjava s kotlom na pelete</v>
      </c>
      <c r="D83" s="517">
        <f t="shared" si="5"/>
        <v>83</v>
      </c>
      <c r="E83" s="520" t="s">
        <v>764</v>
      </c>
      <c r="F83" s="521" t="s">
        <v>1492</v>
      </c>
      <c r="G83" s="654" t="s">
        <v>2130</v>
      </c>
      <c r="H83" s="521" t="s">
        <v>1304</v>
      </c>
      <c r="I83" s="520" t="s">
        <v>490</v>
      </c>
      <c r="J83" s="797" t="s">
        <v>1943</v>
      </c>
      <c r="K83" s="521" t="s">
        <v>925</v>
      </c>
      <c r="L83" s="521" t="s">
        <v>764</v>
      </c>
    </row>
    <row r="84" spans="1:12" ht="36" x14ac:dyDescent="0.25">
      <c r="A84" s="723"/>
      <c r="B84" s="517">
        <v>84</v>
      </c>
      <c r="C84" s="520" t="str">
        <f t="shared" si="4"/>
        <v xml:space="preserve">
Zamenjava s kotlom na polena</v>
      </c>
      <c r="D84" s="517">
        <f t="shared" si="5"/>
        <v>84</v>
      </c>
      <c r="E84" s="520" t="s">
        <v>861</v>
      </c>
      <c r="F84" s="521" t="s">
        <v>1493</v>
      </c>
      <c r="G84" s="654" t="s">
        <v>2131</v>
      </c>
      <c r="H84" s="521" t="s">
        <v>1305</v>
      </c>
      <c r="I84" s="520" t="s">
        <v>491</v>
      </c>
      <c r="J84" s="797" t="s">
        <v>1944</v>
      </c>
      <c r="K84" s="521" t="s">
        <v>926</v>
      </c>
      <c r="L84" s="521" t="s">
        <v>861</v>
      </c>
    </row>
    <row r="85" spans="1:12" ht="36" x14ac:dyDescent="0.25">
      <c r="A85" s="723"/>
      <c r="B85" s="517">
        <v>85</v>
      </c>
      <c r="C85" s="520" t="str">
        <f t="shared" si="4"/>
        <v xml:space="preserve">
Zamenjava s kotlom na lesne sekance</v>
      </c>
      <c r="D85" s="517">
        <f t="shared" si="5"/>
        <v>85</v>
      </c>
      <c r="E85" s="520" t="s">
        <v>868</v>
      </c>
      <c r="F85" s="521" t="s">
        <v>1494</v>
      </c>
      <c r="G85" s="654" t="s">
        <v>2132</v>
      </c>
      <c r="H85" s="521" t="s">
        <v>1306</v>
      </c>
      <c r="I85" s="520" t="s">
        <v>492</v>
      </c>
      <c r="J85" s="797" t="s">
        <v>1945</v>
      </c>
      <c r="K85" s="521" t="s">
        <v>927</v>
      </c>
      <c r="L85" s="521" t="s">
        <v>868</v>
      </c>
    </row>
    <row r="86" spans="1:12" ht="24" x14ac:dyDescent="0.25">
      <c r="A86" s="723"/>
      <c r="B86" s="517">
        <v>86</v>
      </c>
      <c r="C86" s="520" t="str">
        <f t="shared" si="4"/>
        <v>Toplotna črpalka</v>
      </c>
      <c r="D86" s="517">
        <f t="shared" si="5"/>
        <v>86</v>
      </c>
      <c r="E86" s="520" t="s">
        <v>359</v>
      </c>
      <c r="F86" s="521" t="s">
        <v>1495</v>
      </c>
      <c r="G86" s="654" t="s">
        <v>2133</v>
      </c>
      <c r="H86" s="521" t="s">
        <v>1307</v>
      </c>
      <c r="I86" s="520" t="s">
        <v>357</v>
      </c>
      <c r="J86" s="797" t="s">
        <v>1946</v>
      </c>
      <c r="K86" s="521" t="s">
        <v>928</v>
      </c>
      <c r="L86" s="521" t="s">
        <v>359</v>
      </c>
    </row>
    <row r="87" spans="1:12" ht="24" x14ac:dyDescent="0.25">
      <c r="A87" s="723"/>
      <c r="B87" s="517">
        <v>87</v>
      </c>
      <c r="C87" s="520" t="str">
        <f t="shared" si="4"/>
        <v>Namestitev termostatskih ventilov</v>
      </c>
      <c r="D87" s="517">
        <f t="shared" si="5"/>
        <v>87</v>
      </c>
      <c r="E87" s="520" t="s">
        <v>144</v>
      </c>
      <c r="F87" s="521" t="s">
        <v>1496</v>
      </c>
      <c r="G87" s="654" t="s">
        <v>2134</v>
      </c>
      <c r="H87" s="521" t="s">
        <v>1308</v>
      </c>
      <c r="I87" s="520" t="s">
        <v>48</v>
      </c>
      <c r="J87" s="797" t="s">
        <v>1947</v>
      </c>
      <c r="K87" s="521" t="s">
        <v>929</v>
      </c>
      <c r="L87" s="521" t="s">
        <v>144</v>
      </c>
    </row>
    <row r="88" spans="1:12" ht="48" x14ac:dyDescent="0.25">
      <c r="A88" s="723"/>
      <c r="B88" s="517">
        <v>88</v>
      </c>
      <c r="C88" s="520" t="str">
        <f t="shared" si="4"/>
        <v>Izboljšanje energetske učinkovitosti ogrevalnega sistema (regulacija, izolacija ravzovdov, distribucija)</v>
      </c>
      <c r="D88" s="517">
        <f t="shared" si="5"/>
        <v>88</v>
      </c>
      <c r="E88" s="520" t="s">
        <v>145</v>
      </c>
      <c r="F88" s="521" t="s">
        <v>1497</v>
      </c>
      <c r="G88" s="654" t="s">
        <v>2135</v>
      </c>
      <c r="H88" s="521" t="s">
        <v>1309</v>
      </c>
      <c r="I88" s="520" t="s">
        <v>6</v>
      </c>
      <c r="J88" s="797" t="s">
        <v>2276</v>
      </c>
      <c r="K88" s="521" t="s">
        <v>930</v>
      </c>
      <c r="L88" s="521" t="s">
        <v>145</v>
      </c>
    </row>
    <row r="89" spans="1:12" ht="48" x14ac:dyDescent="0.25">
      <c r="A89" s="723"/>
      <c r="B89" s="517">
        <v>89</v>
      </c>
      <c r="C89" s="520" t="str">
        <f t="shared" si="4"/>
        <v>Sistem za rekuperacijo toplotne energije na obstoječih prezračevalnih sistemih</v>
      </c>
      <c r="D89" s="517">
        <f t="shared" si="5"/>
        <v>89</v>
      </c>
      <c r="E89" s="520" t="s">
        <v>407</v>
      </c>
      <c r="F89" s="521" t="s">
        <v>1498</v>
      </c>
      <c r="G89" s="654" t="s">
        <v>2136</v>
      </c>
      <c r="H89" s="521" t="s">
        <v>1310</v>
      </c>
      <c r="I89" s="520" t="s">
        <v>406</v>
      </c>
      <c r="J89" s="797" t="s">
        <v>2277</v>
      </c>
      <c r="K89" s="521" t="s">
        <v>931</v>
      </c>
      <c r="L89" s="521" t="s">
        <v>407</v>
      </c>
    </row>
    <row r="90" spans="1:12" ht="24" x14ac:dyDescent="0.25">
      <c r="A90" s="723"/>
      <c r="B90" s="517">
        <v>90</v>
      </c>
      <c r="C90" s="520" t="str">
        <f t="shared" si="4"/>
        <v>Zamenjava svetil</v>
      </c>
      <c r="D90" s="517">
        <f t="shared" si="5"/>
        <v>90</v>
      </c>
      <c r="E90" s="520" t="s">
        <v>146</v>
      </c>
      <c r="F90" s="521" t="s">
        <v>1499</v>
      </c>
      <c r="G90" s="654" t="s">
        <v>2137</v>
      </c>
      <c r="H90" s="521" t="s">
        <v>1311</v>
      </c>
      <c r="I90" s="520" t="s">
        <v>506</v>
      </c>
      <c r="J90" s="797" t="s">
        <v>1948</v>
      </c>
      <c r="K90" s="521" t="s">
        <v>932</v>
      </c>
      <c r="L90" s="521" t="s">
        <v>146</v>
      </c>
    </row>
    <row r="91" spans="1:12" ht="36" x14ac:dyDescent="0.25">
      <c r="A91" s="723"/>
      <c r="B91" s="517">
        <v>91</v>
      </c>
      <c r="C91" s="520" t="str">
        <f t="shared" si="4"/>
        <v>Izboljšanje energetske učinkovitosti sistema razsvetljave</v>
      </c>
      <c r="D91" s="517">
        <f t="shared" si="5"/>
        <v>91</v>
      </c>
      <c r="E91" s="520" t="s">
        <v>529</v>
      </c>
      <c r="F91" s="521" t="s">
        <v>1500</v>
      </c>
      <c r="G91" s="654" t="s">
        <v>2138</v>
      </c>
      <c r="H91" s="521" t="s">
        <v>1312</v>
      </c>
      <c r="I91" s="520" t="s">
        <v>527</v>
      </c>
      <c r="J91" s="797" t="s">
        <v>1949</v>
      </c>
      <c r="K91" s="521" t="s">
        <v>933</v>
      </c>
      <c r="L91" s="521" t="s">
        <v>529</v>
      </c>
    </row>
    <row r="92" spans="1:12" ht="24" x14ac:dyDescent="0.25">
      <c r="A92" s="723"/>
      <c r="B92" s="517">
        <v>92</v>
      </c>
      <c r="C92" s="520" t="str">
        <f t="shared" si="4"/>
        <v>senzorji gibanja, senzorji osvetljenosti itd.</v>
      </c>
      <c r="D92" s="517">
        <f t="shared" si="5"/>
        <v>92</v>
      </c>
      <c r="E92" s="520" t="s">
        <v>530</v>
      </c>
      <c r="F92" s="521" t="s">
        <v>1501</v>
      </c>
      <c r="G92" s="654" t="s">
        <v>2139</v>
      </c>
      <c r="H92" s="521" t="s">
        <v>1313</v>
      </c>
      <c r="I92" s="520" t="s">
        <v>528</v>
      </c>
      <c r="J92" s="797" t="s">
        <v>2278</v>
      </c>
      <c r="K92" s="521" t="s">
        <v>934</v>
      </c>
      <c r="L92" s="521" t="s">
        <v>530</v>
      </c>
    </row>
    <row r="93" spans="1:12" x14ac:dyDescent="0.25">
      <c r="A93" s="723"/>
      <c r="B93" s="517">
        <v>93</v>
      </c>
      <c r="C93" s="520" t="str">
        <f t="shared" si="4"/>
        <v>Fotovoltaična elektrarna</v>
      </c>
      <c r="D93" s="517">
        <f t="shared" si="5"/>
        <v>93</v>
      </c>
      <c r="E93" s="520" t="s">
        <v>147</v>
      </c>
      <c r="F93" s="521" t="s">
        <v>1502</v>
      </c>
      <c r="G93" s="654" t="s">
        <v>2140</v>
      </c>
      <c r="H93" s="521" t="s">
        <v>1314</v>
      </c>
      <c r="I93" s="520" t="s">
        <v>47</v>
      </c>
      <c r="J93" s="797" t="s">
        <v>2279</v>
      </c>
      <c r="K93" s="521" t="s">
        <v>935</v>
      </c>
      <c r="L93" s="521" t="s">
        <v>147</v>
      </c>
    </row>
    <row r="94" spans="1:12" ht="36" x14ac:dyDescent="0.25">
      <c r="A94" s="723"/>
      <c r="B94" s="517">
        <v>94</v>
      </c>
      <c r="C94" s="520" t="str">
        <f t="shared" si="4"/>
        <v xml:space="preserve">
Posegi na celotnem ovoju stavbe</v>
      </c>
      <c r="D94" s="517">
        <f t="shared" si="5"/>
        <v>94</v>
      </c>
      <c r="E94" s="520" t="s">
        <v>862</v>
      </c>
      <c r="F94" s="521" t="s">
        <v>1503</v>
      </c>
      <c r="G94" s="654" t="s">
        <v>2246</v>
      </c>
      <c r="H94" s="521" t="s">
        <v>1315</v>
      </c>
      <c r="I94" s="520" t="s">
        <v>368</v>
      </c>
      <c r="J94" s="797" t="s">
        <v>1950</v>
      </c>
      <c r="K94" s="521" t="s">
        <v>936</v>
      </c>
      <c r="L94" s="521" t="s">
        <v>862</v>
      </c>
    </row>
    <row r="95" spans="1:12" ht="24" x14ac:dyDescent="0.25">
      <c r="A95" s="723"/>
      <c r="B95" s="517">
        <v>95</v>
      </c>
      <c r="C95" s="520" t="str">
        <f t="shared" si="4"/>
        <v xml:space="preserve">
Posegi na delu sten</v>
      </c>
      <c r="D95" s="517">
        <f t="shared" si="5"/>
        <v>95</v>
      </c>
      <c r="E95" s="520" t="s">
        <v>863</v>
      </c>
      <c r="F95" s="521" t="s">
        <v>1504</v>
      </c>
      <c r="G95" s="654" t="s">
        <v>2244</v>
      </c>
      <c r="H95" s="521" t="s">
        <v>1316</v>
      </c>
      <c r="I95" s="520" t="s">
        <v>361</v>
      </c>
      <c r="J95" s="797" t="s">
        <v>1951</v>
      </c>
      <c r="K95" s="521" t="s">
        <v>937</v>
      </c>
      <c r="L95" s="521" t="s">
        <v>863</v>
      </c>
    </row>
    <row r="96" spans="1:12" ht="36" x14ac:dyDescent="0.25">
      <c r="A96" s="723"/>
      <c r="B96" s="517">
        <v>96</v>
      </c>
      <c r="C96" s="520" t="str">
        <f t="shared" si="4"/>
        <v xml:space="preserve">
Posegi na vseh oknih</v>
      </c>
      <c r="D96" s="517">
        <f t="shared" si="5"/>
        <v>96</v>
      </c>
      <c r="E96" s="520" t="s">
        <v>864</v>
      </c>
      <c r="F96" s="521" t="s">
        <v>1505</v>
      </c>
      <c r="G96" s="654" t="s">
        <v>2243</v>
      </c>
      <c r="H96" s="521" t="s">
        <v>1317</v>
      </c>
      <c r="I96" s="520" t="s">
        <v>362</v>
      </c>
      <c r="J96" s="797" t="s">
        <v>1952</v>
      </c>
      <c r="K96" s="521" t="s">
        <v>938</v>
      </c>
      <c r="L96" s="521" t="s">
        <v>864</v>
      </c>
    </row>
    <row r="97" spans="1:12" ht="24" x14ac:dyDescent="0.25">
      <c r="A97" s="723"/>
      <c r="B97" s="517">
        <v>97</v>
      </c>
      <c r="C97" s="520" t="str">
        <f t="shared" si="4"/>
        <v xml:space="preserve">
Posegi na delu oken</v>
      </c>
      <c r="D97" s="517">
        <f t="shared" si="5"/>
        <v>97</v>
      </c>
      <c r="E97" s="520" t="s">
        <v>865</v>
      </c>
      <c r="F97" s="521" t="s">
        <v>1506</v>
      </c>
      <c r="G97" s="654" t="s">
        <v>2245</v>
      </c>
      <c r="H97" s="521" t="s">
        <v>1318</v>
      </c>
      <c r="I97" s="520" t="s">
        <v>363</v>
      </c>
      <c r="J97" s="797" t="s">
        <v>1953</v>
      </c>
      <c r="K97" s="521" t="s">
        <v>939</v>
      </c>
      <c r="L97" s="521" t="s">
        <v>865</v>
      </c>
    </row>
    <row r="98" spans="1:12" ht="24" x14ac:dyDescent="0.25">
      <c r="A98" s="723"/>
      <c r="B98" s="517">
        <v>98</v>
      </c>
      <c r="C98" s="520" t="str">
        <f t="shared" si="4"/>
        <v>Posegi na celotni strehi</v>
      </c>
      <c r="D98" s="517">
        <f t="shared" si="5"/>
        <v>98</v>
      </c>
      <c r="E98" s="520" t="s">
        <v>866</v>
      </c>
      <c r="F98" s="521" t="s">
        <v>1507</v>
      </c>
      <c r="G98" s="654" t="s">
        <v>2249</v>
      </c>
      <c r="H98" s="521" t="s">
        <v>1319</v>
      </c>
      <c r="I98" s="520" t="s">
        <v>364</v>
      </c>
      <c r="J98" s="797" t="s">
        <v>1954</v>
      </c>
      <c r="K98" s="521" t="s">
        <v>940</v>
      </c>
      <c r="L98" s="521" t="s">
        <v>866</v>
      </c>
    </row>
    <row r="99" spans="1:12" ht="24" x14ac:dyDescent="0.25">
      <c r="A99" s="723"/>
      <c r="B99" s="517">
        <v>99</v>
      </c>
      <c r="C99" s="520" t="str">
        <f t="shared" si="4"/>
        <v>Posegi na delu strehe</v>
      </c>
      <c r="D99" s="517">
        <f t="shared" si="5"/>
        <v>99</v>
      </c>
      <c r="E99" s="520" t="s">
        <v>867</v>
      </c>
      <c r="F99" s="521" t="s">
        <v>1508</v>
      </c>
      <c r="G99" s="654" t="s">
        <v>2242</v>
      </c>
      <c r="H99" s="521" t="s">
        <v>1320</v>
      </c>
      <c r="I99" s="520" t="s">
        <v>365</v>
      </c>
      <c r="J99" s="797" t="s">
        <v>1955</v>
      </c>
      <c r="K99" s="521" t="s">
        <v>941</v>
      </c>
      <c r="L99" s="521" t="s">
        <v>867</v>
      </c>
    </row>
    <row r="100" spans="1:12" ht="24" x14ac:dyDescent="0.25">
      <c r="A100" s="723"/>
      <c r="B100" s="517">
        <v>100</v>
      </c>
      <c r="C100" s="520" t="str">
        <f t="shared" si="4"/>
        <v>Posegi na celotnih tleh</v>
      </c>
      <c r="D100" s="517">
        <f t="shared" si="5"/>
        <v>100</v>
      </c>
      <c r="E100" s="520" t="s">
        <v>2077</v>
      </c>
      <c r="F100" s="521" t="s">
        <v>1509</v>
      </c>
      <c r="G100" s="654" t="s">
        <v>2241</v>
      </c>
      <c r="H100" s="521" t="s">
        <v>1321</v>
      </c>
      <c r="I100" s="520" t="s">
        <v>366</v>
      </c>
      <c r="J100" s="797" t="s">
        <v>1956</v>
      </c>
      <c r="K100" s="521" t="s">
        <v>942</v>
      </c>
      <c r="L100" s="521" t="s">
        <v>2252</v>
      </c>
    </row>
    <row r="101" spans="1:12" ht="24" x14ac:dyDescent="0.25">
      <c r="A101" s="723"/>
      <c r="B101" s="517">
        <v>101</v>
      </c>
      <c r="C101" s="520" t="str">
        <f t="shared" si="4"/>
        <v>Posegi na delu tal</v>
      </c>
      <c r="D101" s="517">
        <f t="shared" si="5"/>
        <v>101</v>
      </c>
      <c r="E101" s="520" t="s">
        <v>870</v>
      </c>
      <c r="F101" s="521" t="s">
        <v>1510</v>
      </c>
      <c r="G101" s="654" t="s">
        <v>2247</v>
      </c>
      <c r="H101" s="521" t="s">
        <v>1322</v>
      </c>
      <c r="I101" s="520" t="s">
        <v>367</v>
      </c>
      <c r="J101" s="797" t="s">
        <v>1957</v>
      </c>
      <c r="K101" s="521" t="s">
        <v>943</v>
      </c>
      <c r="L101" s="521" t="s">
        <v>870</v>
      </c>
    </row>
    <row r="102" spans="1:12" x14ac:dyDescent="0.25">
      <c r="A102" s="723"/>
      <c r="B102" s="517">
        <v>102</v>
      </c>
      <c r="C102" s="520" t="str">
        <f t="shared" si="4"/>
        <v>Drugo</v>
      </c>
      <c r="D102" s="517">
        <f t="shared" si="5"/>
        <v>102</v>
      </c>
      <c r="E102" s="520" t="s">
        <v>148</v>
      </c>
      <c r="F102" s="521" t="s">
        <v>1511</v>
      </c>
      <c r="G102" s="654" t="s">
        <v>2141</v>
      </c>
      <c r="H102" s="521" t="s">
        <v>1323</v>
      </c>
      <c r="I102" s="520" t="s">
        <v>100</v>
      </c>
      <c r="J102" s="797" t="s">
        <v>944</v>
      </c>
      <c r="K102" s="521" t="s">
        <v>944</v>
      </c>
      <c r="L102" s="521" t="s">
        <v>148</v>
      </c>
    </row>
    <row r="103" spans="1:12" ht="36" x14ac:dyDescent="0.25">
      <c r="A103" s="723"/>
      <c r="B103" s="517">
        <v>103</v>
      </c>
      <c r="C103" s="520" t="str">
        <f t="shared" si="4"/>
        <v xml:space="preserve">
kritje porabe električne energije</v>
      </c>
      <c r="D103" s="517">
        <f t="shared" si="5"/>
        <v>103</v>
      </c>
      <c r="E103" s="520" t="s">
        <v>869</v>
      </c>
      <c r="F103" s="521" t="s">
        <v>1512</v>
      </c>
      <c r="G103" s="654" t="s">
        <v>2142</v>
      </c>
      <c r="H103" s="521" t="s">
        <v>1324</v>
      </c>
      <c r="I103" s="520" t="s">
        <v>353</v>
      </c>
      <c r="J103" s="797" t="s">
        <v>1958</v>
      </c>
      <c r="K103" s="521" t="s">
        <v>945</v>
      </c>
      <c r="L103" s="521" t="s">
        <v>766</v>
      </c>
    </row>
    <row r="104" spans="1:12" ht="36" x14ac:dyDescent="0.25">
      <c r="A104" s="723"/>
      <c r="B104" s="517">
        <v>104</v>
      </c>
      <c r="C104" s="520" t="str">
        <f t="shared" si="4"/>
        <v>za pokrivanje potreb po ogrevanju</v>
      </c>
      <c r="D104" s="517">
        <f t="shared" si="5"/>
        <v>104</v>
      </c>
      <c r="E104" s="520" t="s">
        <v>871</v>
      </c>
      <c r="F104" s="521" t="s">
        <v>1513</v>
      </c>
      <c r="G104" s="654" t="s">
        <v>2248</v>
      </c>
      <c r="H104" s="521" t="s">
        <v>1325</v>
      </c>
      <c r="I104" s="520" t="s">
        <v>354</v>
      </c>
      <c r="J104" s="797" t="s">
        <v>2280</v>
      </c>
      <c r="K104" s="521" t="s">
        <v>946</v>
      </c>
      <c r="L104" s="521" t="s">
        <v>767</v>
      </c>
    </row>
    <row r="105" spans="1:12" x14ac:dyDescent="0.25">
      <c r="A105" s="723"/>
      <c r="B105" s="517">
        <v>105</v>
      </c>
      <c r="C105" s="520" t="str">
        <f t="shared" si="4"/>
        <v>ocenjeni stroški</v>
      </c>
      <c r="D105" s="517">
        <f t="shared" si="5"/>
        <v>105</v>
      </c>
      <c r="E105" s="520" t="s">
        <v>149</v>
      </c>
      <c r="F105" s="521" t="s">
        <v>1514</v>
      </c>
      <c r="G105" s="654" t="s">
        <v>2143</v>
      </c>
      <c r="H105" s="521" t="s">
        <v>1326</v>
      </c>
      <c r="I105" s="520" t="s">
        <v>9</v>
      </c>
      <c r="J105" s="797" t="s">
        <v>1959</v>
      </c>
      <c r="K105" s="521" t="s">
        <v>947</v>
      </c>
      <c r="L105" s="521" t="s">
        <v>149</v>
      </c>
    </row>
    <row r="106" spans="1:12" ht="36" x14ac:dyDescent="0.25">
      <c r="A106" s="723"/>
      <c r="B106" s="517">
        <v>106</v>
      </c>
      <c r="C106" s="520" t="str">
        <f t="shared" si="4"/>
        <v>Stroški načrtovanja in gradnje</v>
      </c>
      <c r="D106" s="517">
        <f t="shared" si="5"/>
        <v>106</v>
      </c>
      <c r="E106" s="520" t="s">
        <v>150</v>
      </c>
      <c r="F106" s="521" t="s">
        <v>1515</v>
      </c>
      <c r="G106" s="654" t="s">
        <v>2144</v>
      </c>
      <c r="H106" s="521" t="s">
        <v>1327</v>
      </c>
      <c r="I106" s="520" t="s">
        <v>101</v>
      </c>
      <c r="J106" s="797" t="s">
        <v>1960</v>
      </c>
      <c r="K106" s="521" t="s">
        <v>948</v>
      </c>
      <c r="L106" s="521" t="s">
        <v>150</v>
      </c>
    </row>
    <row r="107" spans="1:12" x14ac:dyDescent="0.25">
      <c r="A107" s="723"/>
      <c r="B107" s="517">
        <v>107</v>
      </c>
      <c r="C107" s="520" t="str">
        <f t="shared" si="4"/>
        <v>Stroški varovanja gradbišča</v>
      </c>
      <c r="D107" s="517">
        <f t="shared" si="5"/>
        <v>107</v>
      </c>
      <c r="E107" s="520" t="s">
        <v>151</v>
      </c>
      <c r="F107" s="521" t="s">
        <v>1516</v>
      </c>
      <c r="G107" s="654" t="s">
        <v>2145</v>
      </c>
      <c r="H107" s="521" t="s">
        <v>1328</v>
      </c>
      <c r="I107" s="520" t="s">
        <v>102</v>
      </c>
      <c r="J107" s="797" t="s">
        <v>2281</v>
      </c>
      <c r="K107" s="521" t="s">
        <v>949</v>
      </c>
      <c r="L107" s="521" t="s">
        <v>151</v>
      </c>
    </row>
    <row r="108" spans="1:12" x14ac:dyDescent="0.25">
      <c r="A108" s="723"/>
      <c r="B108" s="517">
        <v>108</v>
      </c>
      <c r="C108" s="520" t="str">
        <f t="shared" si="4"/>
        <v>DDV</v>
      </c>
      <c r="D108" s="517">
        <f t="shared" si="5"/>
        <v>108</v>
      </c>
      <c r="E108" s="520" t="s">
        <v>152</v>
      </c>
      <c r="F108" s="521" t="s">
        <v>103</v>
      </c>
      <c r="G108" s="654" t="s">
        <v>2146</v>
      </c>
      <c r="H108" s="521" t="s">
        <v>1329</v>
      </c>
      <c r="I108" s="520" t="s">
        <v>103</v>
      </c>
      <c r="J108" s="797" t="s">
        <v>1961</v>
      </c>
      <c r="K108" s="521" t="s">
        <v>950</v>
      </c>
      <c r="L108" s="521" t="s">
        <v>152</v>
      </c>
    </row>
    <row r="109" spans="1:12" x14ac:dyDescent="0.25">
      <c r="A109" s="724"/>
      <c r="B109" s="517">
        <v>109</v>
      </c>
      <c r="C109" s="520" t="str">
        <f t="shared" si="4"/>
        <v>Skupaj</v>
      </c>
      <c r="D109" s="517">
        <f t="shared" si="5"/>
        <v>109</v>
      </c>
      <c r="E109" s="520" t="s">
        <v>153</v>
      </c>
      <c r="F109" s="521" t="s">
        <v>153</v>
      </c>
      <c r="G109" s="654" t="s">
        <v>153</v>
      </c>
      <c r="H109" s="521" t="s">
        <v>1330</v>
      </c>
      <c r="I109" s="520" t="s">
        <v>104</v>
      </c>
      <c r="J109" s="797" t="s">
        <v>1962</v>
      </c>
      <c r="K109" s="521" t="s">
        <v>951</v>
      </c>
      <c r="L109" s="521" t="s">
        <v>153</v>
      </c>
    </row>
    <row r="110" spans="1:12" ht="24" x14ac:dyDescent="0.25">
      <c r="A110" s="722">
        <v>4</v>
      </c>
      <c r="B110" s="517">
        <v>110</v>
      </c>
      <c r="C110" s="520" t="str">
        <f t="shared" si="4"/>
        <v>IZRAČUN PRIHRANKOV - IZBERI MOŽNOST</v>
      </c>
      <c r="D110" s="517">
        <f t="shared" si="5"/>
        <v>110</v>
      </c>
      <c r="E110" s="520" t="s">
        <v>190</v>
      </c>
      <c r="F110" s="521" t="s">
        <v>1517</v>
      </c>
      <c r="G110" s="654" t="s">
        <v>2147</v>
      </c>
      <c r="H110" s="521" t="s">
        <v>1331</v>
      </c>
      <c r="I110" s="520" t="s">
        <v>189</v>
      </c>
      <c r="J110" s="797" t="s">
        <v>1963</v>
      </c>
      <c r="K110" s="521" t="s">
        <v>952</v>
      </c>
      <c r="L110" s="521" t="s">
        <v>190</v>
      </c>
    </row>
    <row r="111" spans="1:12" x14ac:dyDescent="0.25">
      <c r="A111" s="723"/>
      <c r="B111" s="517">
        <v>111</v>
      </c>
      <c r="C111" s="520" t="str">
        <f t="shared" si="4"/>
        <v>Možnost A</v>
      </c>
      <c r="D111" s="517">
        <f t="shared" si="5"/>
        <v>111</v>
      </c>
      <c r="E111" s="520" t="s">
        <v>154</v>
      </c>
      <c r="F111" s="521" t="s">
        <v>1518</v>
      </c>
      <c r="G111" s="654" t="s">
        <v>154</v>
      </c>
      <c r="H111" s="521" t="s">
        <v>1332</v>
      </c>
      <c r="I111" s="520" t="s">
        <v>105</v>
      </c>
      <c r="J111" s="797" t="s">
        <v>1964</v>
      </c>
      <c r="K111" s="521" t="s">
        <v>953</v>
      </c>
      <c r="L111" s="521" t="s">
        <v>154</v>
      </c>
    </row>
    <row r="112" spans="1:12" x14ac:dyDescent="0.25">
      <c r="A112" s="723"/>
      <c r="B112" s="517">
        <v>112</v>
      </c>
      <c r="C112" s="520" t="str">
        <f t="shared" si="4"/>
        <v>Možnost B</v>
      </c>
      <c r="D112" s="517">
        <f t="shared" si="5"/>
        <v>112</v>
      </c>
      <c r="E112" s="520" t="s">
        <v>155</v>
      </c>
      <c r="F112" s="521" t="s">
        <v>1519</v>
      </c>
      <c r="G112" s="654" t="s">
        <v>155</v>
      </c>
      <c r="H112" s="521" t="s">
        <v>1333</v>
      </c>
      <c r="I112" s="520" t="s">
        <v>106</v>
      </c>
      <c r="J112" s="797" t="s">
        <v>1965</v>
      </c>
      <c r="K112" s="521" t="s">
        <v>954</v>
      </c>
      <c r="L112" s="521" t="s">
        <v>155</v>
      </c>
    </row>
    <row r="113" spans="1:12" ht="48" x14ac:dyDescent="0.25">
      <c r="A113" s="723"/>
      <c r="B113" s="517">
        <v>113</v>
      </c>
      <c r="C113" s="520" t="str">
        <f t="shared" si="4"/>
        <v>poenostavljena ocena prihrankov glede na posamezne ukrepe za varčevanje z energijo</v>
      </c>
      <c r="D113" s="517">
        <f t="shared" si="5"/>
        <v>113</v>
      </c>
      <c r="E113" s="520" t="s">
        <v>156</v>
      </c>
      <c r="F113" s="521" t="s">
        <v>1520</v>
      </c>
      <c r="G113" s="654" t="s">
        <v>2148</v>
      </c>
      <c r="H113" s="521" t="s">
        <v>1334</v>
      </c>
      <c r="I113" s="520" t="s">
        <v>23</v>
      </c>
      <c r="J113" s="797" t="s">
        <v>1966</v>
      </c>
      <c r="K113" s="521" t="s">
        <v>955</v>
      </c>
      <c r="L113" s="521" t="s">
        <v>156</v>
      </c>
    </row>
    <row r="114" spans="1:12" ht="84" x14ac:dyDescent="0.25">
      <c r="A114" s="723"/>
      <c r="B114" s="517">
        <v>114</v>
      </c>
      <c r="C114" s="520" t="str">
        <f t="shared" si="4"/>
        <v>ustrezen način za predhodno oceno splošnega potenciala, če ni podrobnega energetskega pregleda</v>
      </c>
      <c r="D114" s="517">
        <f t="shared" si="5"/>
        <v>114</v>
      </c>
      <c r="E114" s="520" t="s">
        <v>485</v>
      </c>
      <c r="F114" s="521" t="s">
        <v>1521</v>
      </c>
      <c r="G114" s="654" t="s">
        <v>2149</v>
      </c>
      <c r="H114" s="521" t="s">
        <v>1335</v>
      </c>
      <c r="I114" s="520" t="s">
        <v>486</v>
      </c>
      <c r="J114" s="797" t="s">
        <v>1967</v>
      </c>
      <c r="K114" s="521" t="s">
        <v>956</v>
      </c>
      <c r="L114" s="521" t="s">
        <v>485</v>
      </c>
    </row>
    <row r="115" spans="1:12" ht="36" x14ac:dyDescent="0.25">
      <c r="A115" s="723"/>
      <c r="B115" s="517">
        <v>115</v>
      </c>
      <c r="C115" s="520" t="str">
        <f t="shared" si="4"/>
        <v>uporabniku prilagojen in uravnotežen izračun prihrankov</v>
      </c>
      <c r="D115" s="517">
        <f t="shared" si="5"/>
        <v>115</v>
      </c>
      <c r="E115" s="520" t="s">
        <v>157</v>
      </c>
      <c r="F115" s="521" t="s">
        <v>1522</v>
      </c>
      <c r="G115" s="654" t="s">
        <v>2150</v>
      </c>
      <c r="H115" s="521" t="s">
        <v>1336</v>
      </c>
      <c r="I115" s="520" t="s">
        <v>24</v>
      </c>
      <c r="J115" s="797" t="s">
        <v>1968</v>
      </c>
      <c r="K115" s="521" t="s">
        <v>957</v>
      </c>
      <c r="L115" s="521" t="s">
        <v>157</v>
      </c>
    </row>
    <row r="116" spans="1:12" ht="120" x14ac:dyDescent="0.25">
      <c r="A116" s="723"/>
      <c r="B116" s="517">
        <v>116</v>
      </c>
      <c r="C116" s="520" t="str">
        <f t="shared" si="4"/>
        <v>podatki o prihrankih pridobljeni z razširjenim energetskim pregledom ali Investor Confidence Project (ICP) ali ekvivalentnim protoklom  -&gt; proces varčevanja, ki vodi v certifikat IREE ali podobno</v>
      </c>
      <c r="D116" s="517">
        <f t="shared" si="5"/>
        <v>116</v>
      </c>
      <c r="E116" s="520" t="s">
        <v>184</v>
      </c>
      <c r="F116" s="521" t="s">
        <v>1523</v>
      </c>
      <c r="G116" s="654" t="s">
        <v>2151</v>
      </c>
      <c r="H116" s="521" t="s">
        <v>1337</v>
      </c>
      <c r="I116" s="520" t="s">
        <v>185</v>
      </c>
      <c r="J116" s="797" t="s">
        <v>2282</v>
      </c>
      <c r="K116" s="521" t="s">
        <v>958</v>
      </c>
      <c r="L116" s="521" t="s">
        <v>184</v>
      </c>
    </row>
    <row r="117" spans="1:12" x14ac:dyDescent="0.25">
      <c r="A117" s="723"/>
      <c r="B117" s="517">
        <v>117</v>
      </c>
      <c r="C117" s="520" t="str">
        <f t="shared" si="4"/>
        <v>MOŽNOST A</v>
      </c>
      <c r="D117" s="517">
        <f t="shared" si="5"/>
        <v>117</v>
      </c>
      <c r="E117" s="520" t="s">
        <v>158</v>
      </c>
      <c r="F117" s="521" t="s">
        <v>1524</v>
      </c>
      <c r="G117" s="654" t="s">
        <v>158</v>
      </c>
      <c r="H117" s="521" t="s">
        <v>1332</v>
      </c>
      <c r="I117" s="520" t="s">
        <v>25</v>
      </c>
      <c r="J117" s="797" t="s">
        <v>1969</v>
      </c>
      <c r="K117" s="521" t="s">
        <v>959</v>
      </c>
      <c r="L117" s="521" t="s">
        <v>158</v>
      </c>
    </row>
    <row r="118" spans="1:12" x14ac:dyDescent="0.25">
      <c r="A118" s="723"/>
      <c r="B118" s="517">
        <v>118</v>
      </c>
      <c r="C118" s="520" t="str">
        <f t="shared" si="4"/>
        <v>MOŽNOST B</v>
      </c>
      <c r="D118" s="517">
        <f t="shared" si="5"/>
        <v>118</v>
      </c>
      <c r="E118" s="520" t="s">
        <v>159</v>
      </c>
      <c r="F118" s="521" t="s">
        <v>1525</v>
      </c>
      <c r="G118" s="654" t="s">
        <v>159</v>
      </c>
      <c r="H118" s="521" t="s">
        <v>1333</v>
      </c>
      <c r="I118" s="520" t="s">
        <v>32</v>
      </c>
      <c r="J118" s="797" t="s">
        <v>1970</v>
      </c>
      <c r="K118" s="521" t="s">
        <v>960</v>
      </c>
      <c r="L118" s="521" t="s">
        <v>159</v>
      </c>
    </row>
    <row r="119" spans="1:12" x14ac:dyDescent="0.25">
      <c r="A119" s="723"/>
      <c r="B119" s="517">
        <v>119</v>
      </c>
      <c r="C119" s="520" t="str">
        <f t="shared" si="4"/>
        <v>ocenjeni prihranki</v>
      </c>
      <c r="D119" s="517">
        <f t="shared" si="5"/>
        <v>119</v>
      </c>
      <c r="E119" s="520" t="s">
        <v>160</v>
      </c>
      <c r="F119" s="521" t="s">
        <v>1526</v>
      </c>
      <c r="G119" s="654" t="s">
        <v>2152</v>
      </c>
      <c r="H119" s="521" t="s">
        <v>1338</v>
      </c>
      <c r="I119" s="520" t="s">
        <v>28</v>
      </c>
      <c r="J119" s="797" t="s">
        <v>1971</v>
      </c>
      <c r="K119" s="521" t="s">
        <v>961</v>
      </c>
      <c r="L119" s="521" t="s">
        <v>160</v>
      </c>
    </row>
    <row r="120" spans="1:12" ht="24" x14ac:dyDescent="0.25">
      <c r="A120" s="723"/>
      <c r="B120" s="517">
        <v>120</v>
      </c>
      <c r="C120" s="520" t="str">
        <f t="shared" si="4"/>
        <v>površina vgradnje</v>
      </c>
      <c r="D120" s="517">
        <f t="shared" si="5"/>
        <v>120</v>
      </c>
      <c r="E120" s="520" t="s">
        <v>161</v>
      </c>
      <c r="F120" s="521" t="s">
        <v>1527</v>
      </c>
      <c r="G120" s="654" t="s">
        <v>2153</v>
      </c>
      <c r="H120" s="521" t="s">
        <v>1339</v>
      </c>
      <c r="I120" s="520" t="s">
        <v>187</v>
      </c>
      <c r="J120" s="797" t="s">
        <v>2283</v>
      </c>
      <c r="K120" s="521" t="s">
        <v>962</v>
      </c>
      <c r="L120" s="521" t="s">
        <v>161</v>
      </c>
    </row>
    <row r="121" spans="1:12" x14ac:dyDescent="0.25">
      <c r="A121" s="723"/>
      <c r="B121" s="517">
        <v>121</v>
      </c>
      <c r="C121" s="520" t="str">
        <f t="shared" si="4"/>
        <v>kol.</v>
      </c>
      <c r="D121" s="517">
        <f t="shared" si="5"/>
        <v>121</v>
      </c>
      <c r="E121" s="520" t="s">
        <v>162</v>
      </c>
      <c r="F121" s="521" t="s">
        <v>162</v>
      </c>
      <c r="G121" s="654" t="s">
        <v>2154</v>
      </c>
      <c r="H121" s="521" t="s">
        <v>1340</v>
      </c>
      <c r="I121" s="520" t="s">
        <v>107</v>
      </c>
      <c r="J121" s="797" t="s">
        <v>1972</v>
      </c>
      <c r="K121" s="521" t="s">
        <v>162</v>
      </c>
      <c r="L121" s="521" t="s">
        <v>162</v>
      </c>
    </row>
    <row r="122" spans="1:12" x14ac:dyDescent="0.25">
      <c r="A122" s="723"/>
      <c r="B122" s="517">
        <v>122</v>
      </c>
      <c r="C122" s="520" t="str">
        <f t="shared" si="4"/>
        <v>del stavbe, kjer se izvaja ukrep</v>
      </c>
      <c r="D122" s="517">
        <f t="shared" si="5"/>
        <v>122</v>
      </c>
      <c r="E122" s="520" t="s">
        <v>768</v>
      </c>
      <c r="F122" s="521" t="s">
        <v>1528</v>
      </c>
      <c r="G122" s="654" t="s">
        <v>2155</v>
      </c>
      <c r="H122" s="521" t="s">
        <v>1341</v>
      </c>
      <c r="I122" s="520" t="s">
        <v>526</v>
      </c>
      <c r="J122" s="797" t="s">
        <v>2284</v>
      </c>
      <c r="K122" s="521" t="s">
        <v>963</v>
      </c>
      <c r="L122" s="521" t="s">
        <v>768</v>
      </c>
    </row>
    <row r="123" spans="1:12" x14ac:dyDescent="0.25">
      <c r="A123" s="723"/>
      <c r="B123" s="517">
        <v>123</v>
      </c>
      <c r="C123" s="520" t="str">
        <f t="shared" si="4"/>
        <v>skupaj moč</v>
      </c>
      <c r="D123" s="517">
        <f t="shared" si="5"/>
        <v>123</v>
      </c>
      <c r="E123" s="520" t="s">
        <v>163</v>
      </c>
      <c r="F123" s="521" t="s">
        <v>1529</v>
      </c>
      <c r="G123" s="654" t="s">
        <v>2156</v>
      </c>
      <c r="H123" s="521" t="s">
        <v>1342</v>
      </c>
      <c r="I123" s="520" t="s">
        <v>108</v>
      </c>
      <c r="J123" s="797" t="s">
        <v>1973</v>
      </c>
      <c r="K123" s="521" t="s">
        <v>964</v>
      </c>
      <c r="L123" s="521" t="s">
        <v>163</v>
      </c>
    </row>
    <row r="124" spans="1:12" x14ac:dyDescent="0.25">
      <c r="A124" s="723"/>
      <c r="B124" s="517">
        <v>124</v>
      </c>
      <c r="C124" s="520" t="str">
        <f t="shared" si="4"/>
        <v>moč</v>
      </c>
      <c r="D124" s="517">
        <f t="shared" si="5"/>
        <v>124</v>
      </c>
      <c r="E124" s="520" t="s">
        <v>164</v>
      </c>
      <c r="F124" s="521" t="s">
        <v>1530</v>
      </c>
      <c r="G124" s="654" t="s">
        <v>2157</v>
      </c>
      <c r="H124" s="521" t="s">
        <v>1343</v>
      </c>
      <c r="I124" s="520" t="s">
        <v>109</v>
      </c>
      <c r="J124" s="797" t="s">
        <v>1974</v>
      </c>
      <c r="K124" s="521" t="s">
        <v>965</v>
      </c>
      <c r="L124" s="521" t="s">
        <v>164</v>
      </c>
    </row>
    <row r="125" spans="1:12" x14ac:dyDescent="0.25">
      <c r="A125" s="723"/>
      <c r="B125" s="517">
        <v>125</v>
      </c>
      <c r="C125" s="520" t="str">
        <f t="shared" si="4"/>
        <v>vgrajena moč</v>
      </c>
      <c r="D125" s="517">
        <f t="shared" si="5"/>
        <v>125</v>
      </c>
      <c r="E125" s="520" t="s">
        <v>769</v>
      </c>
      <c r="F125" s="521" t="s">
        <v>1531</v>
      </c>
      <c r="G125" s="654" t="s">
        <v>2158</v>
      </c>
      <c r="H125" s="521" t="s">
        <v>1344</v>
      </c>
      <c r="I125" s="520" t="s">
        <v>352</v>
      </c>
      <c r="J125" s="797" t="s">
        <v>1975</v>
      </c>
      <c r="K125" s="521" t="s">
        <v>966</v>
      </c>
      <c r="L125" s="521" t="s">
        <v>769</v>
      </c>
    </row>
    <row r="126" spans="1:12" ht="24" x14ac:dyDescent="0.25">
      <c r="A126" s="723"/>
      <c r="B126" s="517">
        <v>126</v>
      </c>
      <c r="C126" s="520" t="str">
        <f t="shared" si="4"/>
        <v>Ocenjeni prihranki pri rabi toplotne energije</v>
      </c>
      <c r="D126" s="517">
        <f t="shared" si="5"/>
        <v>126</v>
      </c>
      <c r="E126" s="520" t="s">
        <v>165</v>
      </c>
      <c r="F126" s="521" t="s">
        <v>1532</v>
      </c>
      <c r="G126" s="654" t="s">
        <v>2159</v>
      </c>
      <c r="H126" s="521" t="s">
        <v>1345</v>
      </c>
      <c r="I126" s="520" t="s">
        <v>111</v>
      </c>
      <c r="J126" s="797" t="s">
        <v>2285</v>
      </c>
      <c r="K126" s="521" t="s">
        <v>967</v>
      </c>
      <c r="L126" s="521" t="s">
        <v>165</v>
      </c>
    </row>
    <row r="127" spans="1:12" ht="24" x14ac:dyDescent="0.25">
      <c r="A127" s="723"/>
      <c r="B127" s="517">
        <v>127</v>
      </c>
      <c r="C127" s="520" t="str">
        <f t="shared" si="4"/>
        <v>Ocenjeni prihranki pri rabi električne energije</v>
      </c>
      <c r="D127" s="517">
        <f t="shared" si="5"/>
        <v>127</v>
      </c>
      <c r="E127" s="520" t="s">
        <v>166</v>
      </c>
      <c r="F127" s="521" t="s">
        <v>1533</v>
      </c>
      <c r="G127" s="654" t="s">
        <v>2160</v>
      </c>
      <c r="H127" s="521" t="s">
        <v>1346</v>
      </c>
      <c r="I127" s="520" t="s">
        <v>112</v>
      </c>
      <c r="J127" s="797" t="s">
        <v>2286</v>
      </c>
      <c r="K127" s="521" t="s">
        <v>968</v>
      </c>
      <c r="L127" s="521" t="s">
        <v>166</v>
      </c>
    </row>
    <row r="128" spans="1:12" ht="36" x14ac:dyDescent="0.25">
      <c r="A128" s="723"/>
      <c r="B128" s="517">
        <v>128</v>
      </c>
      <c r="C128" s="520" t="str">
        <f t="shared" si="4"/>
        <v xml:space="preserve">
dodatni prihranki pri rabi toplotne energije</v>
      </c>
      <c r="D128" s="517">
        <f t="shared" si="5"/>
        <v>128</v>
      </c>
      <c r="E128" s="520" t="s">
        <v>872</v>
      </c>
      <c r="F128" s="521" t="s">
        <v>1534</v>
      </c>
      <c r="G128" s="654" t="s">
        <v>2161</v>
      </c>
      <c r="H128" s="521" t="s">
        <v>1347</v>
      </c>
      <c r="I128" s="520" t="s">
        <v>350</v>
      </c>
      <c r="J128" s="797" t="s">
        <v>2287</v>
      </c>
      <c r="K128" s="521" t="s">
        <v>969</v>
      </c>
      <c r="L128" s="521" t="s">
        <v>872</v>
      </c>
    </row>
    <row r="129" spans="1:12" ht="36" x14ac:dyDescent="0.25">
      <c r="A129" s="723"/>
      <c r="B129" s="517">
        <v>129</v>
      </c>
      <c r="C129" s="520" t="str">
        <f t="shared" si="4"/>
        <v xml:space="preserve">
dodatni prihranki pri rabi električne energije</v>
      </c>
      <c r="D129" s="517">
        <f t="shared" si="5"/>
        <v>129</v>
      </c>
      <c r="E129" s="520" t="s">
        <v>873</v>
      </c>
      <c r="F129" s="521" t="s">
        <v>1535</v>
      </c>
      <c r="G129" s="654" t="s">
        <v>2162</v>
      </c>
      <c r="H129" s="521" t="s">
        <v>1348</v>
      </c>
      <c r="I129" s="520" t="s">
        <v>351</v>
      </c>
      <c r="J129" s="797" t="s">
        <v>2288</v>
      </c>
      <c r="K129" s="521" t="s">
        <v>970</v>
      </c>
      <c r="L129" s="521" t="s">
        <v>873</v>
      </c>
    </row>
    <row r="130" spans="1:12" ht="24" x14ac:dyDescent="0.25">
      <c r="A130" s="723"/>
      <c r="B130" s="517">
        <v>130</v>
      </c>
      <c r="C130" s="520" t="str">
        <f t="shared" ref="C130:C193" si="6">IF(VLOOKUP(B130,$D:$L,$C$1+1,FALSE)="","",VLOOKUP(B130,$D:$L,$C$1+1,FALSE))</f>
        <v>Potreba po toploti</v>
      </c>
      <c r="D130" s="517">
        <f t="shared" ref="D130:D193" si="7">B130</f>
        <v>130</v>
      </c>
      <c r="E130" s="520" t="s">
        <v>174</v>
      </c>
      <c r="F130" s="521" t="s">
        <v>1536</v>
      </c>
      <c r="G130" s="654" t="s">
        <v>2163</v>
      </c>
      <c r="H130" s="521" t="s">
        <v>1349</v>
      </c>
      <c r="I130" s="520" t="s">
        <v>35</v>
      </c>
      <c r="J130" s="797" t="s">
        <v>2289</v>
      </c>
      <c r="K130" s="521" t="s">
        <v>971</v>
      </c>
      <c r="L130" s="521" t="s">
        <v>174</v>
      </c>
    </row>
    <row r="131" spans="1:12" ht="36" x14ac:dyDescent="0.25">
      <c r="A131" s="723"/>
      <c r="B131" s="517">
        <v>131</v>
      </c>
      <c r="C131" s="520" t="str">
        <f t="shared" si="6"/>
        <v>Sezonsko povprečje učinkovitosti ogrevalnega sistema</v>
      </c>
      <c r="D131" s="517">
        <f t="shared" si="7"/>
        <v>131</v>
      </c>
      <c r="E131" s="520" t="s">
        <v>167</v>
      </c>
      <c r="F131" s="521" t="s">
        <v>1537</v>
      </c>
      <c r="G131" s="654" t="s">
        <v>2164</v>
      </c>
      <c r="H131" s="521" t="s">
        <v>1350</v>
      </c>
      <c r="I131" s="520" t="s">
        <v>186</v>
      </c>
      <c r="J131" s="797" t="s">
        <v>1978</v>
      </c>
      <c r="K131" s="521" t="s">
        <v>972</v>
      </c>
      <c r="L131" s="521" t="s">
        <v>167</v>
      </c>
    </row>
    <row r="132" spans="1:12" ht="24" x14ac:dyDescent="0.25">
      <c r="A132" s="723"/>
      <c r="B132" s="517">
        <v>132</v>
      </c>
      <c r="C132" s="520" t="str">
        <f t="shared" si="6"/>
        <v>Enegijska učinkovitost ogrevanja</v>
      </c>
      <c r="D132" s="517">
        <f t="shared" si="7"/>
        <v>132</v>
      </c>
      <c r="E132" s="520" t="s">
        <v>168</v>
      </c>
      <c r="F132" s="521" t="s">
        <v>1538</v>
      </c>
      <c r="G132" s="654" t="s">
        <v>2165</v>
      </c>
      <c r="H132" s="521" t="s">
        <v>1351</v>
      </c>
      <c r="I132" s="520" t="s">
        <v>36</v>
      </c>
      <c r="J132" s="797" t="s">
        <v>2290</v>
      </c>
      <c r="K132" s="521" t="s">
        <v>973</v>
      </c>
      <c r="L132" s="521" t="s">
        <v>168</v>
      </c>
    </row>
    <row r="133" spans="1:12" ht="24" x14ac:dyDescent="0.25">
      <c r="A133" s="723"/>
      <c r="B133" s="517">
        <v>133</v>
      </c>
      <c r="C133" s="520" t="str">
        <f t="shared" si="6"/>
        <v>Energijska učinkovitost hlajenja</v>
      </c>
      <c r="D133" s="517">
        <f t="shared" si="7"/>
        <v>133</v>
      </c>
      <c r="E133" s="520" t="s">
        <v>169</v>
      </c>
      <c r="F133" s="521" t="s">
        <v>1539</v>
      </c>
      <c r="G133" s="654" t="s">
        <v>2166</v>
      </c>
      <c r="H133" s="521" t="s">
        <v>1352</v>
      </c>
      <c r="I133" s="520" t="s">
        <v>37</v>
      </c>
      <c r="J133" s="797" t="s">
        <v>2291</v>
      </c>
      <c r="K133" s="521" t="s">
        <v>974</v>
      </c>
      <c r="L133" s="521" t="s">
        <v>169</v>
      </c>
    </row>
    <row r="134" spans="1:12" ht="36" x14ac:dyDescent="0.25">
      <c r="A134" s="723"/>
      <c r="B134" s="517">
        <v>134</v>
      </c>
      <c r="C134" s="520" t="str">
        <f t="shared" si="6"/>
        <v>Energijska učinkovitost priprave tople sanitarne vode (TSV)</v>
      </c>
      <c r="D134" s="517">
        <f t="shared" si="7"/>
        <v>134</v>
      </c>
      <c r="E134" s="520" t="s">
        <v>2078</v>
      </c>
      <c r="F134" s="521" t="s">
        <v>1540</v>
      </c>
      <c r="G134" s="654" t="s">
        <v>2167</v>
      </c>
      <c r="H134" s="521" t="s">
        <v>1353</v>
      </c>
      <c r="I134" s="520" t="s">
        <v>38</v>
      </c>
      <c r="J134" s="797" t="s">
        <v>2292</v>
      </c>
      <c r="K134" s="521" t="s">
        <v>975</v>
      </c>
      <c r="L134" s="521" t="s">
        <v>170</v>
      </c>
    </row>
    <row r="135" spans="1:12" ht="24" x14ac:dyDescent="0.25">
      <c r="A135" s="723"/>
      <c r="B135" s="517">
        <v>135</v>
      </c>
      <c r="C135" s="520" t="str">
        <f t="shared" si="6"/>
        <v>Energetska učinkovitost prezračevanja</v>
      </c>
      <c r="D135" s="517">
        <f t="shared" si="7"/>
        <v>135</v>
      </c>
      <c r="E135" s="520" t="s">
        <v>171</v>
      </c>
      <c r="F135" s="521" t="s">
        <v>1541</v>
      </c>
      <c r="G135" s="654" t="s">
        <v>2168</v>
      </c>
      <c r="H135" s="521" t="s">
        <v>1354</v>
      </c>
      <c r="I135" s="520" t="s">
        <v>39</v>
      </c>
      <c r="J135" s="797" t="s">
        <v>1979</v>
      </c>
      <c r="K135" s="521" t="s">
        <v>976</v>
      </c>
      <c r="L135" s="521" t="s">
        <v>171</v>
      </c>
    </row>
    <row r="136" spans="1:12" ht="24" x14ac:dyDescent="0.25">
      <c r="A136" s="723"/>
      <c r="B136" s="517">
        <v>136</v>
      </c>
      <c r="C136" s="520" t="str">
        <f t="shared" si="6"/>
        <v>Energetska učinkovitost razsvetljave</v>
      </c>
      <c r="D136" s="517">
        <f t="shared" si="7"/>
        <v>136</v>
      </c>
      <c r="E136" s="520" t="s">
        <v>172</v>
      </c>
      <c r="F136" s="521" t="s">
        <v>1542</v>
      </c>
      <c r="G136" s="654" t="s">
        <v>2169</v>
      </c>
      <c r="H136" s="521" t="s">
        <v>1355</v>
      </c>
      <c r="I136" s="520" t="s">
        <v>40</v>
      </c>
      <c r="J136" s="797" t="s">
        <v>1980</v>
      </c>
      <c r="K136" s="521" t="s">
        <v>977</v>
      </c>
      <c r="L136" s="521" t="s">
        <v>172</v>
      </c>
    </row>
    <row r="137" spans="1:12" ht="24" x14ac:dyDescent="0.25">
      <c r="A137" s="723"/>
      <c r="B137" s="517">
        <v>137</v>
      </c>
      <c r="C137" s="520" t="str">
        <f t="shared" si="6"/>
        <v>Energetska učinkovitost dvigal itd.</v>
      </c>
      <c r="D137" s="517">
        <f t="shared" si="7"/>
        <v>137</v>
      </c>
      <c r="E137" s="520" t="s">
        <v>173</v>
      </c>
      <c r="F137" s="521" t="s">
        <v>1543</v>
      </c>
      <c r="G137" s="654" t="s">
        <v>2170</v>
      </c>
      <c r="H137" s="521" t="s">
        <v>1356</v>
      </c>
      <c r="I137" s="520" t="s">
        <v>41</v>
      </c>
      <c r="J137" s="797" t="s">
        <v>1981</v>
      </c>
      <c r="K137" s="521" t="s">
        <v>978</v>
      </c>
      <c r="L137" s="521" t="s">
        <v>173</v>
      </c>
    </row>
    <row r="138" spans="1:12" ht="36" x14ac:dyDescent="0.25">
      <c r="A138" s="723"/>
      <c r="B138" s="517">
        <v>138</v>
      </c>
      <c r="C138" s="520" t="str">
        <f t="shared" si="6"/>
        <v>Izhodiščna raba toplote</v>
      </c>
      <c r="D138" s="517">
        <f t="shared" si="7"/>
        <v>138</v>
      </c>
      <c r="E138" s="520" t="s">
        <v>772</v>
      </c>
      <c r="F138" s="521" t="s">
        <v>1544</v>
      </c>
      <c r="G138" s="654" t="s">
        <v>2171</v>
      </c>
      <c r="H138" s="521" t="s">
        <v>1357</v>
      </c>
      <c r="I138" s="520" t="s">
        <v>533</v>
      </c>
      <c r="J138" s="797" t="s">
        <v>2293</v>
      </c>
      <c r="K138" s="521" t="s">
        <v>979</v>
      </c>
      <c r="L138" s="521" t="s">
        <v>772</v>
      </c>
    </row>
    <row r="139" spans="1:12" x14ac:dyDescent="0.25">
      <c r="A139" s="723"/>
      <c r="B139" s="517">
        <v>139</v>
      </c>
      <c r="C139" s="520" t="str">
        <f t="shared" si="6"/>
        <v>CENE ENERGIJE</v>
      </c>
      <c r="D139" s="517">
        <f t="shared" si="7"/>
        <v>139</v>
      </c>
      <c r="E139" s="520" t="s">
        <v>1724</v>
      </c>
      <c r="F139" s="521" t="s">
        <v>1725</v>
      </c>
      <c r="G139" s="654" t="s">
        <v>2250</v>
      </c>
      <c r="H139" s="521" t="s">
        <v>1726</v>
      </c>
      <c r="I139" s="520" t="s">
        <v>1727</v>
      </c>
      <c r="J139" s="797" t="s">
        <v>2054</v>
      </c>
      <c r="K139" s="521" t="s">
        <v>1728</v>
      </c>
      <c r="L139" s="521" t="s">
        <v>1724</v>
      </c>
    </row>
    <row r="140" spans="1:12" x14ac:dyDescent="0.25">
      <c r="A140" s="723"/>
      <c r="B140" s="517">
        <v>140</v>
      </c>
      <c r="C140" s="520" t="str">
        <f t="shared" si="6"/>
        <v>(izbirno)</v>
      </c>
      <c r="D140" s="517">
        <f t="shared" si="7"/>
        <v>140</v>
      </c>
      <c r="E140" s="520" t="s">
        <v>1719</v>
      </c>
      <c r="F140" s="521" t="s">
        <v>1720</v>
      </c>
      <c r="G140" s="654" t="s">
        <v>2253</v>
      </c>
      <c r="H140" s="521" t="s">
        <v>1721</v>
      </c>
      <c r="I140" s="520" t="s">
        <v>1722</v>
      </c>
      <c r="J140" s="797" t="s">
        <v>2053</v>
      </c>
      <c r="K140" s="521" t="s">
        <v>1723</v>
      </c>
      <c r="L140" s="521" t="s">
        <v>1719</v>
      </c>
    </row>
    <row r="141" spans="1:12" x14ac:dyDescent="0.25">
      <c r="A141" s="723"/>
      <c r="B141" s="517">
        <v>141</v>
      </c>
      <c r="C141" s="520" t="str">
        <f t="shared" si="6"/>
        <v>predhodni izračun</v>
      </c>
      <c r="D141" s="517">
        <f t="shared" si="7"/>
        <v>141</v>
      </c>
      <c r="E141" s="520" t="s">
        <v>771</v>
      </c>
      <c r="F141" s="521" t="s">
        <v>1545</v>
      </c>
      <c r="G141" s="654" t="s">
        <v>2172</v>
      </c>
      <c r="H141" s="521" t="s">
        <v>1358</v>
      </c>
      <c r="I141" s="520" t="s">
        <v>670</v>
      </c>
      <c r="J141" s="797" t="s">
        <v>1982</v>
      </c>
      <c r="K141" s="521" t="s">
        <v>980</v>
      </c>
      <c r="L141" s="521" t="s">
        <v>771</v>
      </c>
    </row>
    <row r="142" spans="1:12" x14ac:dyDescent="0.25">
      <c r="A142" s="723"/>
      <c r="B142" s="517">
        <v>142</v>
      </c>
      <c r="C142" s="520" t="str">
        <f t="shared" si="6"/>
        <v>vstavil uporabnik</v>
      </c>
      <c r="D142" s="517">
        <f t="shared" si="7"/>
        <v>142</v>
      </c>
      <c r="E142" s="520" t="s">
        <v>770</v>
      </c>
      <c r="F142" s="521" t="s">
        <v>1546</v>
      </c>
      <c r="G142" s="654" t="s">
        <v>2173</v>
      </c>
      <c r="H142" s="521" t="s">
        <v>1359</v>
      </c>
      <c r="I142" s="520" t="s">
        <v>671</v>
      </c>
      <c r="J142" s="797" t="s">
        <v>1983</v>
      </c>
      <c r="K142" s="521" t="s">
        <v>981</v>
      </c>
      <c r="L142" s="521" t="s">
        <v>770</v>
      </c>
    </row>
    <row r="143" spans="1:12" ht="24" x14ac:dyDescent="0.25">
      <c r="A143" s="723"/>
      <c r="B143" s="517">
        <v>143</v>
      </c>
      <c r="C143" s="520" t="str">
        <f t="shared" si="6"/>
        <v>Viri energije za ogrevanje</v>
      </c>
      <c r="D143" s="517">
        <f t="shared" si="7"/>
        <v>143</v>
      </c>
      <c r="E143" s="520" t="s">
        <v>673</v>
      </c>
      <c r="F143" s="521" t="s">
        <v>1547</v>
      </c>
      <c r="G143" s="654" t="s">
        <v>2174</v>
      </c>
      <c r="H143" s="521" t="s">
        <v>1360</v>
      </c>
      <c r="I143" s="520" t="s">
        <v>672</v>
      </c>
      <c r="J143" s="797" t="s">
        <v>1984</v>
      </c>
      <c r="K143" s="521" t="s">
        <v>982</v>
      </c>
      <c r="L143" s="521" t="s">
        <v>673</v>
      </c>
    </row>
    <row r="144" spans="1:12" ht="24" x14ac:dyDescent="0.25">
      <c r="A144" s="723"/>
      <c r="B144" s="517">
        <v>144</v>
      </c>
      <c r="C144" s="520" t="str">
        <f t="shared" si="6"/>
        <v>Izhodiščni temperaturni primankljaj</v>
      </c>
      <c r="D144" s="517">
        <f t="shared" si="7"/>
        <v>144</v>
      </c>
      <c r="E144" s="520" t="s">
        <v>773</v>
      </c>
      <c r="F144" s="521" t="s">
        <v>1548</v>
      </c>
      <c r="G144" s="654" t="s">
        <v>2175</v>
      </c>
      <c r="H144" s="521" t="s">
        <v>1361</v>
      </c>
      <c r="I144" s="520" t="s">
        <v>1826</v>
      </c>
      <c r="J144" s="797" t="s">
        <v>2294</v>
      </c>
      <c r="K144" s="521" t="s">
        <v>983</v>
      </c>
      <c r="L144" s="521" t="s">
        <v>773</v>
      </c>
    </row>
    <row r="145" spans="1:12" ht="24" x14ac:dyDescent="0.25">
      <c r="A145" s="723"/>
      <c r="B145" s="517">
        <v>145</v>
      </c>
      <c r="C145" s="520" t="str">
        <f t="shared" si="6"/>
        <v>Izhodiščna raba elektrike</v>
      </c>
      <c r="D145" s="517">
        <f t="shared" si="7"/>
        <v>145</v>
      </c>
      <c r="E145" s="520" t="s">
        <v>774</v>
      </c>
      <c r="F145" s="521" t="s">
        <v>1549</v>
      </c>
      <c r="G145" s="654" t="s">
        <v>2176</v>
      </c>
      <c r="H145" s="521" t="s">
        <v>1362</v>
      </c>
      <c r="I145" s="520" t="s">
        <v>534</v>
      </c>
      <c r="J145" s="797" t="s">
        <v>2295</v>
      </c>
      <c r="K145" s="521" t="s">
        <v>984</v>
      </c>
      <c r="L145" s="521" t="s">
        <v>774</v>
      </c>
    </row>
    <row r="146" spans="1:12" x14ac:dyDescent="0.25">
      <c r="A146" s="723"/>
      <c r="B146" s="517">
        <v>146</v>
      </c>
      <c r="C146" s="520" t="str">
        <f t="shared" si="6"/>
        <v>prej</v>
      </c>
      <c r="D146" s="517">
        <f t="shared" si="7"/>
        <v>146</v>
      </c>
      <c r="E146" s="520" t="s">
        <v>175</v>
      </c>
      <c r="F146" s="521" t="s">
        <v>1550</v>
      </c>
      <c r="G146" s="654" t="s">
        <v>2177</v>
      </c>
      <c r="H146" s="521" t="s">
        <v>1363</v>
      </c>
      <c r="I146" s="520" t="s">
        <v>33</v>
      </c>
      <c r="J146" s="797" t="s">
        <v>1985</v>
      </c>
      <c r="K146" s="521" t="s">
        <v>985</v>
      </c>
      <c r="L146" s="521" t="s">
        <v>175</v>
      </c>
    </row>
    <row r="147" spans="1:12" x14ac:dyDescent="0.25">
      <c r="A147" s="724"/>
      <c r="B147" s="517">
        <v>147</v>
      </c>
      <c r="C147" s="520" t="str">
        <f t="shared" si="6"/>
        <v>potem</v>
      </c>
      <c r="D147" s="517">
        <f t="shared" si="7"/>
        <v>147</v>
      </c>
      <c r="E147" s="520" t="s">
        <v>176</v>
      </c>
      <c r="F147" s="521" t="s">
        <v>1551</v>
      </c>
      <c r="G147" s="654" t="s">
        <v>2178</v>
      </c>
      <c r="H147" s="521" t="s">
        <v>1364</v>
      </c>
      <c r="I147" s="520" t="s">
        <v>34</v>
      </c>
      <c r="J147" s="797" t="s">
        <v>1986</v>
      </c>
      <c r="K147" s="521" t="s">
        <v>986</v>
      </c>
      <c r="L147" s="521" t="s">
        <v>176</v>
      </c>
    </row>
    <row r="148" spans="1:12" ht="36" x14ac:dyDescent="0.25">
      <c r="A148" s="722">
        <v>5</v>
      </c>
      <c r="B148" s="517">
        <v>148</v>
      </c>
      <c r="C148" s="520" t="str">
        <f t="shared" si="6"/>
        <v>PARAMETERI ZA FINANČNI IZRAČUN</v>
      </c>
      <c r="D148" s="517">
        <f t="shared" si="7"/>
        <v>148</v>
      </c>
      <c r="E148" s="520" t="s">
        <v>177</v>
      </c>
      <c r="F148" s="521" t="s">
        <v>1552</v>
      </c>
      <c r="G148" s="654" t="s">
        <v>2179</v>
      </c>
      <c r="H148" s="521" t="s">
        <v>1365</v>
      </c>
      <c r="I148" s="520" t="s">
        <v>49</v>
      </c>
      <c r="J148" s="797" t="s">
        <v>1987</v>
      </c>
      <c r="K148" s="521" t="s">
        <v>987</v>
      </c>
      <c r="L148" s="521" t="s">
        <v>177</v>
      </c>
    </row>
    <row r="149" spans="1:12" ht="24" x14ac:dyDescent="0.25">
      <c r="A149" s="723"/>
      <c r="B149" s="517">
        <v>149</v>
      </c>
      <c r="C149" s="520" t="str">
        <f t="shared" si="6"/>
        <v>Metoda izračuna prihrankov energije</v>
      </c>
      <c r="D149" s="517">
        <f t="shared" si="7"/>
        <v>149</v>
      </c>
      <c r="E149" s="520" t="s">
        <v>856</v>
      </c>
      <c r="F149" s="521" t="s">
        <v>1553</v>
      </c>
      <c r="G149" s="654" t="s">
        <v>2180</v>
      </c>
      <c r="H149" s="521" t="s">
        <v>1366</v>
      </c>
      <c r="I149" s="520" t="s">
        <v>116</v>
      </c>
      <c r="J149" s="797" t="s">
        <v>2296</v>
      </c>
      <c r="K149" s="521" t="s">
        <v>988</v>
      </c>
      <c r="L149" s="521" t="s">
        <v>856</v>
      </c>
    </row>
    <row r="150" spans="1:12" x14ac:dyDescent="0.25">
      <c r="A150" s="723"/>
      <c r="B150" s="517">
        <v>150</v>
      </c>
      <c r="C150" s="520" t="str">
        <f t="shared" si="6"/>
        <v>Naložba</v>
      </c>
      <c r="D150" s="517">
        <f t="shared" si="7"/>
        <v>150</v>
      </c>
      <c r="E150" s="520" t="s">
        <v>178</v>
      </c>
      <c r="F150" s="521" t="s">
        <v>1554</v>
      </c>
      <c r="G150" s="654" t="s">
        <v>2181</v>
      </c>
      <c r="H150" s="521" t="s">
        <v>1367</v>
      </c>
      <c r="I150" s="520" t="s">
        <v>115</v>
      </c>
      <c r="J150" s="797" t="s">
        <v>1988</v>
      </c>
      <c r="K150" s="521" t="s">
        <v>989</v>
      </c>
      <c r="L150" s="521" t="s">
        <v>178</v>
      </c>
    </row>
    <row r="151" spans="1:12" ht="24" x14ac:dyDescent="0.25">
      <c r="A151" s="723"/>
      <c r="B151" s="517">
        <v>151</v>
      </c>
      <c r="C151" s="520" t="str">
        <f t="shared" si="6"/>
        <v>Ocenjeni prihranki pri porabi toplotne energije</v>
      </c>
      <c r="D151" s="517">
        <f t="shared" si="7"/>
        <v>151</v>
      </c>
      <c r="E151" s="520" t="s">
        <v>165</v>
      </c>
      <c r="F151" s="521" t="s">
        <v>1532</v>
      </c>
      <c r="G151" s="654" t="s">
        <v>2159</v>
      </c>
      <c r="H151" s="521" t="s">
        <v>1345</v>
      </c>
      <c r="I151" s="520" t="s">
        <v>111</v>
      </c>
      <c r="J151" s="797" t="s">
        <v>1976</v>
      </c>
      <c r="K151" s="521" t="s">
        <v>967</v>
      </c>
      <c r="L151" s="521" t="s">
        <v>165</v>
      </c>
    </row>
    <row r="152" spans="1:12" ht="24" x14ac:dyDescent="0.25">
      <c r="A152" s="723"/>
      <c r="B152" s="517">
        <v>152</v>
      </c>
      <c r="C152" s="520" t="str">
        <f t="shared" si="6"/>
        <v>Ocenjeni prihranki pri porabi električne energije</v>
      </c>
      <c r="D152" s="517">
        <f t="shared" si="7"/>
        <v>152</v>
      </c>
      <c r="E152" s="520" t="s">
        <v>166</v>
      </c>
      <c r="F152" s="521" t="s">
        <v>1533</v>
      </c>
      <c r="G152" s="654" t="s">
        <v>2160</v>
      </c>
      <c r="H152" s="521" t="s">
        <v>1368</v>
      </c>
      <c r="I152" s="520" t="s">
        <v>112</v>
      </c>
      <c r="J152" s="797" t="s">
        <v>1977</v>
      </c>
      <c r="K152" s="521" t="s">
        <v>968</v>
      </c>
      <c r="L152" s="521" t="s">
        <v>166</v>
      </c>
    </row>
    <row r="153" spans="1:12" x14ac:dyDescent="0.25">
      <c r="A153" s="723"/>
      <c r="B153" s="517">
        <v>153</v>
      </c>
      <c r="C153" s="520" t="str">
        <f t="shared" si="6"/>
        <v>Skupaj prihranki</v>
      </c>
      <c r="D153" s="517">
        <f t="shared" si="7"/>
        <v>153</v>
      </c>
      <c r="E153" s="520" t="s">
        <v>179</v>
      </c>
      <c r="F153" s="521" t="s">
        <v>1555</v>
      </c>
      <c r="G153" s="654" t="s">
        <v>2182</v>
      </c>
      <c r="H153" s="521" t="s">
        <v>1369</v>
      </c>
      <c r="I153" s="520" t="s">
        <v>114</v>
      </c>
      <c r="J153" s="797" t="s">
        <v>1989</v>
      </c>
      <c r="K153" s="521" t="s">
        <v>990</v>
      </c>
      <c r="L153" s="521" t="s">
        <v>179</v>
      </c>
    </row>
    <row r="154" spans="1:12" x14ac:dyDescent="0.25">
      <c r="A154" s="723"/>
      <c r="B154" s="517">
        <v>154</v>
      </c>
      <c r="C154" s="520" t="str">
        <f t="shared" si="6"/>
        <v>Stopnja splošne inflacije</v>
      </c>
      <c r="D154" s="517">
        <f t="shared" si="7"/>
        <v>154</v>
      </c>
      <c r="E154" s="520" t="s">
        <v>675</v>
      </c>
      <c r="F154" s="521" t="s">
        <v>1556</v>
      </c>
      <c r="G154" s="654" t="s">
        <v>2183</v>
      </c>
      <c r="H154" s="521" t="s">
        <v>1370</v>
      </c>
      <c r="I154" s="520" t="s">
        <v>676</v>
      </c>
      <c r="J154" s="797" t="s">
        <v>1990</v>
      </c>
      <c r="K154" s="521" t="s">
        <v>991</v>
      </c>
      <c r="L154" s="521" t="s">
        <v>675</v>
      </c>
    </row>
    <row r="155" spans="1:12" ht="24" x14ac:dyDescent="0.25">
      <c r="A155" s="723"/>
      <c r="B155" s="517">
        <v>155</v>
      </c>
      <c r="C155" s="520" t="str">
        <f t="shared" si="6"/>
        <v>Stopnja inflacije cen električne energije</v>
      </c>
      <c r="D155" s="517">
        <f t="shared" si="7"/>
        <v>155</v>
      </c>
      <c r="E155" s="520" t="s">
        <v>679</v>
      </c>
      <c r="F155" s="521" t="s">
        <v>1557</v>
      </c>
      <c r="G155" s="654" t="s">
        <v>2184</v>
      </c>
      <c r="H155" s="521" t="s">
        <v>1371</v>
      </c>
      <c r="I155" s="520" t="s">
        <v>677</v>
      </c>
      <c r="J155" s="797" t="s">
        <v>1991</v>
      </c>
      <c r="K155" s="521" t="s">
        <v>992</v>
      </c>
      <c r="L155" s="521" t="s">
        <v>679</v>
      </c>
    </row>
    <row r="156" spans="1:12" ht="24" x14ac:dyDescent="0.25">
      <c r="A156" s="723"/>
      <c r="B156" s="517">
        <v>156</v>
      </c>
      <c r="C156" s="520" t="str">
        <f t="shared" si="6"/>
        <v>Stopnja inflacije energentov</v>
      </c>
      <c r="D156" s="517">
        <f t="shared" si="7"/>
        <v>156</v>
      </c>
      <c r="E156" s="520" t="s">
        <v>680</v>
      </c>
      <c r="F156" s="521" t="s">
        <v>1558</v>
      </c>
      <c r="G156" s="654" t="s">
        <v>2185</v>
      </c>
      <c r="H156" s="521" t="s">
        <v>1372</v>
      </c>
      <c r="I156" s="520" t="s">
        <v>678</v>
      </c>
      <c r="J156" s="797" t="s">
        <v>2297</v>
      </c>
      <c r="K156" s="521" t="s">
        <v>993</v>
      </c>
      <c r="L156" s="521" t="s">
        <v>680</v>
      </c>
    </row>
    <row r="157" spans="1:12" ht="24" x14ac:dyDescent="0.25">
      <c r="A157" s="723"/>
      <c r="B157" s="517">
        <v>157</v>
      </c>
      <c r="C157" s="520" t="str">
        <f t="shared" si="6"/>
        <v>Neto sedanja vrednost (NPV) diskontne stopnje</v>
      </c>
      <c r="D157" s="517">
        <f t="shared" si="7"/>
        <v>157</v>
      </c>
      <c r="E157" s="520" t="s">
        <v>711</v>
      </c>
      <c r="F157" s="521" t="s">
        <v>1559</v>
      </c>
      <c r="G157" s="654" t="s">
        <v>2186</v>
      </c>
      <c r="H157" s="521" t="s">
        <v>1373</v>
      </c>
      <c r="I157" s="520" t="s">
        <v>710</v>
      </c>
      <c r="J157" s="797" t="s">
        <v>1992</v>
      </c>
      <c r="K157" s="521" t="s">
        <v>994</v>
      </c>
      <c r="L157" s="521" t="s">
        <v>711</v>
      </c>
    </row>
    <row r="158" spans="1:12" x14ac:dyDescent="0.25">
      <c r="A158" s="723"/>
      <c r="B158" s="517">
        <v>158</v>
      </c>
      <c r="C158" s="520" t="str">
        <f t="shared" si="6"/>
        <v>NPV</v>
      </c>
      <c r="D158" s="517">
        <f t="shared" si="7"/>
        <v>158</v>
      </c>
      <c r="E158" s="520" t="s">
        <v>182</v>
      </c>
      <c r="F158" s="521" t="s">
        <v>119</v>
      </c>
      <c r="G158" s="654" t="s">
        <v>2187</v>
      </c>
      <c r="H158" s="521" t="s">
        <v>1374</v>
      </c>
      <c r="I158" s="520" t="s">
        <v>119</v>
      </c>
      <c r="J158" s="797" t="s">
        <v>182</v>
      </c>
      <c r="K158" s="521" t="s">
        <v>950</v>
      </c>
      <c r="L158" s="521" t="s">
        <v>182</v>
      </c>
    </row>
    <row r="159" spans="1:12" x14ac:dyDescent="0.25">
      <c r="A159" s="723"/>
      <c r="B159" s="517">
        <v>159</v>
      </c>
      <c r="C159" s="520" t="str">
        <f t="shared" si="6"/>
        <v>Notranja stopnja donosa (IRR)</v>
      </c>
      <c r="D159" s="517">
        <f t="shared" si="7"/>
        <v>159</v>
      </c>
      <c r="E159" s="520" t="s">
        <v>183</v>
      </c>
      <c r="F159" s="521" t="s">
        <v>120</v>
      </c>
      <c r="G159" s="654" t="s">
        <v>2188</v>
      </c>
      <c r="H159" s="521" t="s">
        <v>1375</v>
      </c>
      <c r="I159" s="520" t="s">
        <v>120</v>
      </c>
      <c r="J159" s="797" t="s">
        <v>1993</v>
      </c>
      <c r="K159" s="521" t="s">
        <v>995</v>
      </c>
      <c r="L159" s="521" t="s">
        <v>183</v>
      </c>
    </row>
    <row r="160" spans="1:12" x14ac:dyDescent="0.25">
      <c r="A160" s="723"/>
      <c r="B160" s="517">
        <v>160</v>
      </c>
      <c r="C160" s="520" t="str">
        <f t="shared" si="6"/>
        <v>Letna obrestna mera</v>
      </c>
      <c r="D160" s="517">
        <f t="shared" si="7"/>
        <v>160</v>
      </c>
      <c r="E160" s="520" t="s">
        <v>597</v>
      </c>
      <c r="F160" s="521" t="s">
        <v>1560</v>
      </c>
      <c r="G160" s="654" t="s">
        <v>2189</v>
      </c>
      <c r="H160" s="521" t="s">
        <v>1376</v>
      </c>
      <c r="I160" s="520" t="s">
        <v>623</v>
      </c>
      <c r="J160" s="797" t="s">
        <v>1994</v>
      </c>
      <c r="K160" s="521" t="s">
        <v>996</v>
      </c>
      <c r="L160" s="521" t="s">
        <v>597</v>
      </c>
    </row>
    <row r="161" spans="1:12" x14ac:dyDescent="0.25">
      <c r="A161" s="723"/>
      <c r="B161" s="517">
        <v>161</v>
      </c>
      <c r="C161" s="520" t="str">
        <f t="shared" si="6"/>
        <v>% celotne naložbe</v>
      </c>
      <c r="D161" s="517">
        <f t="shared" si="7"/>
        <v>161</v>
      </c>
      <c r="E161" s="520" t="s">
        <v>181</v>
      </c>
      <c r="F161" s="521" t="s">
        <v>1561</v>
      </c>
      <c r="G161" s="654" t="s">
        <v>2190</v>
      </c>
      <c r="H161" s="521" t="s">
        <v>1377</v>
      </c>
      <c r="I161" s="520" t="s">
        <v>609</v>
      </c>
      <c r="J161" s="797" t="s">
        <v>1995</v>
      </c>
      <c r="K161" s="521" t="s">
        <v>997</v>
      </c>
      <c r="L161" s="521" t="s">
        <v>181</v>
      </c>
    </row>
    <row r="162" spans="1:12" x14ac:dyDescent="0.25">
      <c r="A162" s="723"/>
      <c r="B162" s="517">
        <v>162</v>
      </c>
      <c r="C162" s="520" t="str">
        <f t="shared" si="6"/>
        <v>Začetna naložba</v>
      </c>
      <c r="D162" s="517">
        <f t="shared" si="7"/>
        <v>162</v>
      </c>
      <c r="E162" s="520" t="s">
        <v>75</v>
      </c>
      <c r="F162" s="521" t="s">
        <v>1562</v>
      </c>
      <c r="G162" s="654" t="s">
        <v>2191</v>
      </c>
      <c r="H162" s="521" t="s">
        <v>1378</v>
      </c>
      <c r="I162" s="520" t="s">
        <v>52</v>
      </c>
      <c r="J162" s="797" t="s">
        <v>1996</v>
      </c>
      <c r="K162" s="521" t="s">
        <v>998</v>
      </c>
      <c r="L162" s="521" t="s">
        <v>75</v>
      </c>
    </row>
    <row r="163" spans="1:12" x14ac:dyDescent="0.25">
      <c r="A163" s="723"/>
      <c r="B163" s="517">
        <v>163</v>
      </c>
      <c r="C163" s="520" t="str">
        <f t="shared" si="6"/>
        <v>Indeksirani letni prihranki</v>
      </c>
      <c r="D163" s="517">
        <f t="shared" si="7"/>
        <v>163</v>
      </c>
      <c r="E163" s="520" t="s">
        <v>76</v>
      </c>
      <c r="F163" s="521" t="s">
        <v>1563</v>
      </c>
      <c r="G163" s="654" t="s">
        <v>2192</v>
      </c>
      <c r="H163" s="521" t="s">
        <v>1379</v>
      </c>
      <c r="I163" s="520" t="s">
        <v>53</v>
      </c>
      <c r="J163" s="797" t="s">
        <v>1997</v>
      </c>
      <c r="K163" s="521" t="s">
        <v>999</v>
      </c>
      <c r="L163" s="521" t="s">
        <v>76</v>
      </c>
    </row>
    <row r="164" spans="1:12" x14ac:dyDescent="0.25">
      <c r="A164" s="723"/>
      <c r="B164" s="517">
        <v>164</v>
      </c>
      <c r="C164" s="520" t="str">
        <f t="shared" si="6"/>
        <v>Subvencija</v>
      </c>
      <c r="D164" s="517">
        <f t="shared" si="7"/>
        <v>164</v>
      </c>
      <c r="E164" s="520" t="s">
        <v>77</v>
      </c>
      <c r="F164" s="521" t="s">
        <v>1564</v>
      </c>
      <c r="G164" s="654" t="s">
        <v>2193</v>
      </c>
      <c r="H164" s="521" t="s">
        <v>1380</v>
      </c>
      <c r="I164" s="520" t="s">
        <v>56</v>
      </c>
      <c r="J164" s="797" t="s">
        <v>1000</v>
      </c>
      <c r="K164" s="521" t="s">
        <v>1000</v>
      </c>
      <c r="L164" s="521" t="s">
        <v>77</v>
      </c>
    </row>
    <row r="165" spans="1:12" ht="24" x14ac:dyDescent="0.25">
      <c r="A165" s="723"/>
      <c r="B165" s="517">
        <v>165</v>
      </c>
      <c r="C165" s="520" t="str">
        <f t="shared" si="6"/>
        <v>Letni neto denarni tokovi brez subvencije</v>
      </c>
      <c r="D165" s="517">
        <f t="shared" si="7"/>
        <v>165</v>
      </c>
      <c r="E165" s="520" t="s">
        <v>78</v>
      </c>
      <c r="F165" s="521" t="s">
        <v>1565</v>
      </c>
      <c r="G165" s="654" t="s">
        <v>2194</v>
      </c>
      <c r="H165" s="521" t="s">
        <v>1381</v>
      </c>
      <c r="I165" s="520" t="s">
        <v>57</v>
      </c>
      <c r="J165" s="797" t="s">
        <v>1998</v>
      </c>
      <c r="K165" s="521" t="s">
        <v>1001</v>
      </c>
      <c r="L165" s="521" t="s">
        <v>78</v>
      </c>
    </row>
    <row r="166" spans="1:12" ht="24" x14ac:dyDescent="0.25">
      <c r="A166" s="723"/>
      <c r="B166" s="517">
        <v>166</v>
      </c>
      <c r="C166" s="520" t="str">
        <f t="shared" si="6"/>
        <v>Progresivni denarni tokovi brez subvencije</v>
      </c>
      <c r="D166" s="517">
        <f t="shared" si="7"/>
        <v>166</v>
      </c>
      <c r="E166" s="520" t="s">
        <v>79</v>
      </c>
      <c r="F166" s="521" t="s">
        <v>1566</v>
      </c>
      <c r="G166" s="654" t="s">
        <v>2195</v>
      </c>
      <c r="H166" s="521" t="s">
        <v>1382</v>
      </c>
      <c r="I166" s="520" t="s">
        <v>59</v>
      </c>
      <c r="J166" s="797" t="s">
        <v>1999</v>
      </c>
      <c r="K166" s="521" t="s">
        <v>1002</v>
      </c>
      <c r="L166" s="521" t="s">
        <v>79</v>
      </c>
    </row>
    <row r="167" spans="1:12" ht="24" x14ac:dyDescent="0.25">
      <c r="A167" s="723"/>
      <c r="B167" s="517">
        <v>167</v>
      </c>
      <c r="C167" s="520" t="str">
        <f t="shared" si="6"/>
        <v>Letni neto denarni tokovi s subvencijo</v>
      </c>
      <c r="D167" s="517">
        <f t="shared" si="7"/>
        <v>167</v>
      </c>
      <c r="E167" s="520" t="s">
        <v>80</v>
      </c>
      <c r="F167" s="521" t="s">
        <v>1567</v>
      </c>
      <c r="G167" s="654" t="s">
        <v>2196</v>
      </c>
      <c r="H167" s="521" t="s">
        <v>1383</v>
      </c>
      <c r="I167" s="520" t="s">
        <v>58</v>
      </c>
      <c r="J167" s="797" t="s">
        <v>2000</v>
      </c>
      <c r="K167" s="521" t="s">
        <v>1003</v>
      </c>
      <c r="L167" s="521" t="s">
        <v>80</v>
      </c>
    </row>
    <row r="168" spans="1:12" ht="24" x14ac:dyDescent="0.25">
      <c r="A168" s="723"/>
      <c r="B168" s="517">
        <v>168</v>
      </c>
      <c r="C168" s="520" t="str">
        <f t="shared" si="6"/>
        <v>Progresivni denarni tokovi s subvencijo</v>
      </c>
      <c r="D168" s="517">
        <f t="shared" si="7"/>
        <v>168</v>
      </c>
      <c r="E168" s="520" t="s">
        <v>81</v>
      </c>
      <c r="F168" s="521" t="s">
        <v>1568</v>
      </c>
      <c r="G168" s="654" t="s">
        <v>2197</v>
      </c>
      <c r="H168" s="521" t="s">
        <v>1384</v>
      </c>
      <c r="I168" s="520" t="s">
        <v>60</v>
      </c>
      <c r="J168" s="797" t="s">
        <v>2001</v>
      </c>
      <c r="K168" s="521" t="s">
        <v>1004</v>
      </c>
      <c r="L168" s="521" t="s">
        <v>81</v>
      </c>
    </row>
    <row r="169" spans="1:12" x14ac:dyDescent="0.25">
      <c r="A169" s="723"/>
      <c r="B169" s="517">
        <v>169</v>
      </c>
      <c r="C169" s="520" t="str">
        <f t="shared" si="6"/>
        <v>Lastni kapital</v>
      </c>
      <c r="D169" s="517">
        <f t="shared" si="7"/>
        <v>169</v>
      </c>
      <c r="E169" s="520" t="s">
        <v>594</v>
      </c>
      <c r="F169" s="521" t="s">
        <v>1569</v>
      </c>
      <c r="G169" s="654" t="s">
        <v>2198</v>
      </c>
      <c r="H169" s="521" t="s">
        <v>1385</v>
      </c>
      <c r="I169" s="520" t="s">
        <v>607</v>
      </c>
      <c r="J169" s="797" t="s">
        <v>2002</v>
      </c>
      <c r="K169" s="521" t="s">
        <v>1005</v>
      </c>
      <c r="L169" s="521" t="s">
        <v>594</v>
      </c>
    </row>
    <row r="170" spans="1:12" x14ac:dyDescent="0.25">
      <c r="A170" s="723"/>
      <c r="B170" s="517">
        <v>170</v>
      </c>
      <c r="C170" s="520" t="str">
        <f t="shared" si="6"/>
        <v>Znesek posojila</v>
      </c>
      <c r="D170" s="517">
        <f t="shared" si="7"/>
        <v>170</v>
      </c>
      <c r="E170" s="520" t="s">
        <v>612</v>
      </c>
      <c r="F170" s="521" t="s">
        <v>1570</v>
      </c>
      <c r="G170" s="654" t="s">
        <v>2199</v>
      </c>
      <c r="H170" s="521" t="s">
        <v>1386</v>
      </c>
      <c r="I170" s="520" t="s">
        <v>608</v>
      </c>
      <c r="J170" s="797" t="s">
        <v>2003</v>
      </c>
      <c r="K170" s="521" t="s">
        <v>1006</v>
      </c>
      <c r="L170" s="521" t="s">
        <v>612</v>
      </c>
    </row>
    <row r="171" spans="1:12" x14ac:dyDescent="0.25">
      <c r="A171" s="723"/>
      <c r="B171" s="517">
        <v>171</v>
      </c>
      <c r="C171" s="520" t="str">
        <f t="shared" si="6"/>
        <v>Obdobje posojila</v>
      </c>
      <c r="D171" s="517">
        <f t="shared" si="7"/>
        <v>171</v>
      </c>
      <c r="E171" s="520" t="s">
        <v>622</v>
      </c>
      <c r="F171" s="521" t="s">
        <v>1571</v>
      </c>
      <c r="G171" s="654" t="s">
        <v>2200</v>
      </c>
      <c r="H171" s="521" t="s">
        <v>1387</v>
      </c>
      <c r="I171" s="520" t="s">
        <v>621</v>
      </c>
      <c r="J171" s="797" t="s">
        <v>2004</v>
      </c>
      <c r="K171" s="521" t="s">
        <v>1007</v>
      </c>
      <c r="L171" s="521" t="s">
        <v>622</v>
      </c>
    </row>
    <row r="172" spans="1:12" x14ac:dyDescent="0.25">
      <c r="A172" s="723"/>
      <c r="B172" s="517">
        <v>172</v>
      </c>
      <c r="C172" s="520" t="str">
        <f t="shared" si="6"/>
        <v>ekvivalent</v>
      </c>
      <c r="D172" s="517">
        <f t="shared" si="7"/>
        <v>172</v>
      </c>
      <c r="E172" s="520" t="s">
        <v>180</v>
      </c>
      <c r="F172" s="521" t="s">
        <v>1572</v>
      </c>
      <c r="G172" s="654" t="s">
        <v>2201</v>
      </c>
      <c r="H172" s="521" t="s">
        <v>1388</v>
      </c>
      <c r="I172" s="520" t="s">
        <v>674</v>
      </c>
      <c r="J172" s="797" t="s">
        <v>2005</v>
      </c>
      <c r="K172" s="521" t="s">
        <v>1008</v>
      </c>
      <c r="L172" s="521" t="s">
        <v>180</v>
      </c>
    </row>
    <row r="173" spans="1:12" ht="24" x14ac:dyDescent="0.25">
      <c r="A173" s="723"/>
      <c r="B173" s="517">
        <v>173</v>
      </c>
      <c r="C173" s="520" t="str">
        <f t="shared" si="6"/>
        <v>Trajanje finančnega načrta</v>
      </c>
      <c r="D173" s="517">
        <f t="shared" si="7"/>
        <v>173</v>
      </c>
      <c r="E173" s="520" t="s">
        <v>874</v>
      </c>
      <c r="F173" s="521" t="s">
        <v>1573</v>
      </c>
      <c r="G173" s="654" t="s">
        <v>2251</v>
      </c>
      <c r="H173" s="521" t="s">
        <v>1389</v>
      </c>
      <c r="I173" s="520" t="s">
        <v>655</v>
      </c>
      <c r="J173" s="797" t="s">
        <v>2006</v>
      </c>
      <c r="K173" s="521" t="s">
        <v>1009</v>
      </c>
      <c r="L173" s="521" t="s">
        <v>874</v>
      </c>
    </row>
    <row r="174" spans="1:12" ht="24" x14ac:dyDescent="0.25">
      <c r="A174" s="723"/>
      <c r="B174" s="517">
        <v>174</v>
      </c>
      <c r="C174" s="520" t="str">
        <f t="shared" si="6"/>
        <v xml:space="preserve">FINANČNI PODATKI PODJETJA </v>
      </c>
      <c r="D174" s="517">
        <f t="shared" si="7"/>
        <v>174</v>
      </c>
      <c r="E174" s="520" t="s">
        <v>775</v>
      </c>
      <c r="F174" s="521" t="s">
        <v>2255</v>
      </c>
      <c r="G174" s="654" t="s">
        <v>2202</v>
      </c>
      <c r="H174" s="521" t="s">
        <v>1390</v>
      </c>
      <c r="I174" s="520" t="s">
        <v>712</v>
      </c>
      <c r="J174" s="797" t="s">
        <v>2007</v>
      </c>
      <c r="K174" s="521" t="s">
        <v>1010</v>
      </c>
      <c r="L174" s="521" t="s">
        <v>775</v>
      </c>
    </row>
    <row r="175" spans="1:12" ht="48" x14ac:dyDescent="0.25">
      <c r="A175" s="723"/>
      <c r="B175" s="517">
        <v>175</v>
      </c>
      <c r="C175" s="520" t="str">
        <f t="shared" si="6"/>
        <v>TRAJANJE FINANČNEGA NAČRTA NE SME BITI DALJŠE OD 20 LET</v>
      </c>
      <c r="D175" s="517">
        <f t="shared" si="7"/>
        <v>175</v>
      </c>
      <c r="E175" s="520" t="s">
        <v>776</v>
      </c>
      <c r="F175" s="521" t="s">
        <v>1574</v>
      </c>
      <c r="G175" s="654" t="s">
        <v>2203</v>
      </c>
      <c r="H175" s="521" t="s">
        <v>1391</v>
      </c>
      <c r="I175" s="520" t="s">
        <v>703</v>
      </c>
      <c r="J175" s="797" t="s">
        <v>2008</v>
      </c>
      <c r="K175" s="521" t="s">
        <v>1011</v>
      </c>
      <c r="L175" s="521" t="s">
        <v>776</v>
      </c>
    </row>
    <row r="176" spans="1:12" ht="24" x14ac:dyDescent="0.25">
      <c r="A176" s="723"/>
      <c r="B176" s="517">
        <v>176</v>
      </c>
      <c r="C176" s="520" t="str">
        <f t="shared" si="6"/>
        <v>PREVISOK ZNESEK POSOJILA</v>
      </c>
      <c r="D176" s="517">
        <f t="shared" si="7"/>
        <v>176</v>
      </c>
      <c r="E176" s="520" t="s">
        <v>777</v>
      </c>
      <c r="F176" s="521" t="s">
        <v>1575</v>
      </c>
      <c r="G176" s="654" t="s">
        <v>2204</v>
      </c>
      <c r="H176" s="521" t="s">
        <v>1392</v>
      </c>
      <c r="I176" s="520" t="s">
        <v>722</v>
      </c>
      <c r="J176" s="797" t="s">
        <v>2009</v>
      </c>
      <c r="K176" s="521" t="s">
        <v>1012</v>
      </c>
      <c r="L176" s="521" t="s">
        <v>777</v>
      </c>
    </row>
    <row r="177" spans="1:12" ht="48" x14ac:dyDescent="0.25">
      <c r="A177" s="723"/>
      <c r="B177" s="517">
        <v>177</v>
      </c>
      <c r="C177" s="520" t="str">
        <f t="shared" si="6"/>
        <v>OBDOBJE POSOJILA NE SME BITI DALJŠE OD TRAJANJA FINANČNEGA NAČRTA</v>
      </c>
      <c r="D177" s="517">
        <f t="shared" si="7"/>
        <v>177</v>
      </c>
      <c r="E177" s="520" t="s">
        <v>778</v>
      </c>
      <c r="F177" s="521" t="s">
        <v>1576</v>
      </c>
      <c r="G177" s="654" t="s">
        <v>2205</v>
      </c>
      <c r="H177" s="521" t="s">
        <v>1393</v>
      </c>
      <c r="I177" s="520" t="s">
        <v>704</v>
      </c>
      <c r="J177" s="797" t="s">
        <v>2010</v>
      </c>
      <c r="K177" s="521" t="s">
        <v>1013</v>
      </c>
      <c r="L177" s="521" t="s">
        <v>778</v>
      </c>
    </row>
    <row r="178" spans="1:12" ht="24" x14ac:dyDescent="0.25">
      <c r="A178" s="722">
        <v>6</v>
      </c>
      <c r="B178" s="517">
        <v>178</v>
      </c>
      <c r="C178" s="520" t="str">
        <f t="shared" si="6"/>
        <v>FINANČNI NAČRT</v>
      </c>
      <c r="D178" s="517">
        <f t="shared" si="7"/>
        <v>178</v>
      </c>
      <c r="E178" s="520" t="s">
        <v>779</v>
      </c>
      <c r="F178" s="521" t="s">
        <v>1577</v>
      </c>
      <c r="G178" s="654" t="s">
        <v>2206</v>
      </c>
      <c r="H178" s="521" t="s">
        <v>1394</v>
      </c>
      <c r="I178" s="520" t="s">
        <v>638</v>
      </c>
      <c r="J178" s="797" t="s">
        <v>2011</v>
      </c>
      <c r="K178" s="521" t="s">
        <v>1011</v>
      </c>
      <c r="L178" s="521" t="s">
        <v>779</v>
      </c>
    </row>
    <row r="179" spans="1:12" x14ac:dyDescent="0.25">
      <c r="A179" s="723"/>
      <c r="B179" s="517">
        <v>179</v>
      </c>
      <c r="C179" s="520" t="str">
        <f t="shared" si="6"/>
        <v>Prihodki</v>
      </c>
      <c r="D179" s="517">
        <f t="shared" si="7"/>
        <v>179</v>
      </c>
      <c r="E179" s="520" t="s">
        <v>625</v>
      </c>
      <c r="F179" s="521" t="s">
        <v>1578</v>
      </c>
      <c r="G179" s="654" t="s">
        <v>625</v>
      </c>
      <c r="H179" s="521" t="s">
        <v>1395</v>
      </c>
      <c r="I179" s="520" t="s">
        <v>640</v>
      </c>
      <c r="J179" s="797" t="s">
        <v>2012</v>
      </c>
      <c r="K179" s="521" t="s">
        <v>1014</v>
      </c>
      <c r="L179" s="521" t="s">
        <v>625</v>
      </c>
    </row>
    <row r="180" spans="1:12" x14ac:dyDescent="0.25">
      <c r="A180" s="723"/>
      <c r="B180" s="517">
        <v>180</v>
      </c>
      <c r="C180" s="520" t="str">
        <f t="shared" si="6"/>
        <v>Odhodki</v>
      </c>
      <c r="D180" s="517">
        <f t="shared" si="7"/>
        <v>180</v>
      </c>
      <c r="E180" s="520" t="s">
        <v>629</v>
      </c>
      <c r="F180" s="521" t="s">
        <v>1579</v>
      </c>
      <c r="G180" s="654" t="s">
        <v>2207</v>
      </c>
      <c r="H180" s="521" t="s">
        <v>1396</v>
      </c>
      <c r="I180" s="520" t="s">
        <v>639</v>
      </c>
      <c r="J180" s="797" t="s">
        <v>2013</v>
      </c>
      <c r="K180" s="521" t="s">
        <v>949</v>
      </c>
      <c r="L180" s="521" t="s">
        <v>629</v>
      </c>
    </row>
    <row r="181" spans="1:12" x14ac:dyDescent="0.25">
      <c r="A181" s="723"/>
      <c r="B181" s="517">
        <v>181</v>
      </c>
      <c r="C181" s="520" t="str">
        <f t="shared" si="6"/>
        <v>IZKAZ POSLOVNEGA IZIDA</v>
      </c>
      <c r="D181" s="517">
        <f t="shared" si="7"/>
        <v>181</v>
      </c>
      <c r="E181" s="520" t="s">
        <v>624</v>
      </c>
      <c r="F181" s="521" t="s">
        <v>1580</v>
      </c>
      <c r="G181" s="654" t="s">
        <v>2208</v>
      </c>
      <c r="H181" s="521" t="s">
        <v>1397</v>
      </c>
      <c r="I181" s="520" t="s">
        <v>696</v>
      </c>
      <c r="J181" s="797" t="s">
        <v>2014</v>
      </c>
      <c r="K181" s="521" t="s">
        <v>1015</v>
      </c>
      <c r="L181" s="521" t="s">
        <v>624</v>
      </c>
    </row>
    <row r="182" spans="1:12" ht="24" x14ac:dyDescent="0.25">
      <c r="A182" s="723"/>
      <c r="B182" s="517">
        <v>182</v>
      </c>
      <c r="C182" s="520" t="str">
        <f t="shared" si="6"/>
        <v>IZKAZ FINANČNEGA IZIDA</v>
      </c>
      <c r="D182" s="517">
        <f t="shared" si="7"/>
        <v>182</v>
      </c>
      <c r="E182" s="520" t="s">
        <v>636</v>
      </c>
      <c r="F182" s="521" t="s">
        <v>1581</v>
      </c>
      <c r="G182" s="654" t="s">
        <v>2209</v>
      </c>
      <c r="H182" s="521" t="s">
        <v>1398</v>
      </c>
      <c r="I182" s="520" t="s">
        <v>697</v>
      </c>
      <c r="J182" s="797" t="s">
        <v>2015</v>
      </c>
      <c r="K182" s="521" t="s">
        <v>1016</v>
      </c>
      <c r="L182" s="521" t="s">
        <v>636</v>
      </c>
    </row>
    <row r="183" spans="1:12" ht="24" x14ac:dyDescent="0.25">
      <c r="A183" s="723"/>
      <c r="B183" s="517">
        <v>183</v>
      </c>
      <c r="C183" s="520" t="str">
        <f t="shared" si="6"/>
        <v>Prihodki od prodaje - koncesnina</v>
      </c>
      <c r="D183" s="517">
        <f t="shared" si="7"/>
        <v>183</v>
      </c>
      <c r="E183" s="520" t="s">
        <v>626</v>
      </c>
      <c r="F183" s="521" t="s">
        <v>1582</v>
      </c>
      <c r="G183" s="654" t="s">
        <v>2210</v>
      </c>
      <c r="H183" s="521" t="s">
        <v>1399</v>
      </c>
      <c r="I183" s="520" t="s">
        <v>682</v>
      </c>
      <c r="J183" s="797" t="s">
        <v>2016</v>
      </c>
      <c r="K183" s="521" t="s">
        <v>1017</v>
      </c>
      <c r="L183" s="521" t="s">
        <v>626</v>
      </c>
    </row>
    <row r="184" spans="1:12" x14ac:dyDescent="0.25">
      <c r="A184" s="723"/>
      <c r="B184" s="517">
        <v>184</v>
      </c>
      <c r="C184" s="520" t="str">
        <f t="shared" si="6"/>
        <v>Spodbude</v>
      </c>
      <c r="D184" s="517">
        <f t="shared" si="7"/>
        <v>184</v>
      </c>
      <c r="E184" s="520" t="s">
        <v>627</v>
      </c>
      <c r="F184" s="521" t="s">
        <v>1583</v>
      </c>
      <c r="G184" s="654" t="s">
        <v>2211</v>
      </c>
      <c r="H184" s="521" t="s">
        <v>1400</v>
      </c>
      <c r="I184" s="520" t="s">
        <v>683</v>
      </c>
      <c r="J184" s="797" t="s">
        <v>2017</v>
      </c>
      <c r="K184" s="521" t="s">
        <v>1018</v>
      </c>
      <c r="L184" s="521" t="s">
        <v>627</v>
      </c>
    </row>
    <row r="185" spans="1:12" ht="24" x14ac:dyDescent="0.25">
      <c r="A185" s="723"/>
      <c r="B185" s="517">
        <v>185</v>
      </c>
      <c r="C185" s="520" t="str">
        <f t="shared" si="6"/>
        <v>Stroški prodanega blaga</v>
      </c>
      <c r="D185" s="517">
        <f t="shared" si="7"/>
        <v>185</v>
      </c>
      <c r="E185" s="520" t="s">
        <v>628</v>
      </c>
      <c r="F185" s="521" t="s">
        <v>1584</v>
      </c>
      <c r="G185" s="654" t="s">
        <v>2212</v>
      </c>
      <c r="H185" s="521" t="s">
        <v>1401</v>
      </c>
      <c r="I185" s="520" t="s">
        <v>684</v>
      </c>
      <c r="J185" s="797" t="s">
        <v>2018</v>
      </c>
      <c r="K185" s="521" t="s">
        <v>1019</v>
      </c>
      <c r="L185" s="521" t="s">
        <v>628</v>
      </c>
    </row>
    <row r="186" spans="1:12" x14ac:dyDescent="0.25">
      <c r="A186" s="723"/>
      <c r="B186" s="517">
        <v>186</v>
      </c>
      <c r="C186" s="520" t="str">
        <f t="shared" si="6"/>
        <v>EBITDA</v>
      </c>
      <c r="D186" s="517">
        <f t="shared" si="7"/>
        <v>186</v>
      </c>
      <c r="E186" s="520" t="s">
        <v>643</v>
      </c>
      <c r="F186" s="521" t="s">
        <v>643</v>
      </c>
      <c r="G186" s="654" t="s">
        <v>643</v>
      </c>
      <c r="H186" s="521" t="s">
        <v>1402</v>
      </c>
      <c r="I186" s="520" t="s">
        <v>643</v>
      </c>
      <c r="J186" s="797" t="s">
        <v>643</v>
      </c>
      <c r="K186" s="521" t="s">
        <v>643</v>
      </c>
      <c r="L186" s="521" t="s">
        <v>643</v>
      </c>
    </row>
    <row r="187" spans="1:12" ht="48" x14ac:dyDescent="0.25">
      <c r="A187" s="723"/>
      <c r="B187" s="517">
        <v>187</v>
      </c>
      <c r="C187" s="520" t="str">
        <f t="shared" si="6"/>
        <v>Administrativni in pisarniški stroški, stroški vzdrževanja in zavarovanja</v>
      </c>
      <c r="D187" s="517">
        <f t="shared" si="7"/>
        <v>187</v>
      </c>
      <c r="E187" s="520" t="s">
        <v>705</v>
      </c>
      <c r="F187" s="521" t="s">
        <v>1585</v>
      </c>
      <c r="G187" s="654" t="s">
        <v>2213</v>
      </c>
      <c r="H187" s="521" t="s">
        <v>1403</v>
      </c>
      <c r="I187" s="520" t="s">
        <v>709</v>
      </c>
      <c r="J187" s="797" t="s">
        <v>2019</v>
      </c>
      <c r="K187" s="521" t="s">
        <v>1020</v>
      </c>
      <c r="L187" s="521" t="s">
        <v>705</v>
      </c>
    </row>
    <row r="188" spans="1:12" ht="24" x14ac:dyDescent="0.25">
      <c r="A188" s="723"/>
      <c r="B188" s="517">
        <v>188</v>
      </c>
      <c r="C188" s="520" t="str">
        <f t="shared" si="6"/>
        <v>Normalizacija stroškov po stopnji inflacije</v>
      </c>
      <c r="D188" s="517">
        <f t="shared" si="7"/>
        <v>188</v>
      </c>
      <c r="E188" s="520" t="s">
        <v>780</v>
      </c>
      <c r="F188" s="521" t="s">
        <v>1586</v>
      </c>
      <c r="G188" s="654" t="s">
        <v>2214</v>
      </c>
      <c r="H188" s="521" t="s">
        <v>1404</v>
      </c>
      <c r="I188" s="520" t="s">
        <v>708</v>
      </c>
      <c r="J188" s="797" t="s">
        <v>2020</v>
      </c>
      <c r="K188" s="521" t="s">
        <v>1021</v>
      </c>
      <c r="L188" s="521" t="s">
        <v>780</v>
      </c>
    </row>
    <row r="189" spans="1:12" x14ac:dyDescent="0.25">
      <c r="A189" s="723"/>
      <c r="B189" s="517">
        <v>189</v>
      </c>
      <c r="C189" s="520" t="str">
        <f t="shared" si="6"/>
        <v>Amortizacija</v>
      </c>
      <c r="D189" s="517">
        <f t="shared" si="7"/>
        <v>189</v>
      </c>
      <c r="E189" s="520" t="s">
        <v>547</v>
      </c>
      <c r="F189" s="521" t="s">
        <v>1587</v>
      </c>
      <c r="G189" s="654" t="s">
        <v>2215</v>
      </c>
      <c r="H189" s="521" t="s">
        <v>1405</v>
      </c>
      <c r="I189" s="520" t="s">
        <v>686</v>
      </c>
      <c r="J189" s="797" t="s">
        <v>1022</v>
      </c>
      <c r="K189" s="521" t="s">
        <v>1022</v>
      </c>
      <c r="L189" s="521" t="s">
        <v>547</v>
      </c>
    </row>
    <row r="190" spans="1:12" ht="24" x14ac:dyDescent="0.25">
      <c r="A190" s="723"/>
      <c r="B190" s="517">
        <v>190</v>
      </c>
      <c r="C190" s="520" t="str">
        <f t="shared" si="6"/>
        <v xml:space="preserve">Inflaciji prilagojeni normalizirani stroški </v>
      </c>
      <c r="D190" s="517">
        <f t="shared" si="7"/>
        <v>190</v>
      </c>
      <c r="E190" s="520" t="s">
        <v>706</v>
      </c>
      <c r="F190" s="521" t="s">
        <v>1588</v>
      </c>
      <c r="G190" s="654" t="s">
        <v>2216</v>
      </c>
      <c r="H190" s="521" t="s">
        <v>1406</v>
      </c>
      <c r="I190" s="520" t="s">
        <v>707</v>
      </c>
      <c r="J190" s="797" t="s">
        <v>2021</v>
      </c>
      <c r="K190" s="521" t="s">
        <v>706</v>
      </c>
      <c r="L190" s="521" t="s">
        <v>706</v>
      </c>
    </row>
    <row r="191" spans="1:12" x14ac:dyDescent="0.25">
      <c r="A191" s="723"/>
      <c r="B191" s="517">
        <v>191</v>
      </c>
      <c r="C191" s="520" t="str">
        <f t="shared" si="6"/>
        <v>Skupaj poslovni odhodki</v>
      </c>
      <c r="D191" s="517">
        <f t="shared" si="7"/>
        <v>191</v>
      </c>
      <c r="E191" s="520" t="s">
        <v>630</v>
      </c>
      <c r="F191" s="521" t="s">
        <v>1589</v>
      </c>
      <c r="G191" s="654" t="s">
        <v>2217</v>
      </c>
      <c r="H191" s="521" t="s">
        <v>1407</v>
      </c>
      <c r="I191" s="520" t="s">
        <v>687</v>
      </c>
      <c r="J191" s="797" t="s">
        <v>2022</v>
      </c>
      <c r="K191" s="521" t="s">
        <v>630</v>
      </c>
      <c r="L191" s="521" t="s">
        <v>630</v>
      </c>
    </row>
    <row r="192" spans="1:12" x14ac:dyDescent="0.25">
      <c r="A192" s="723"/>
      <c r="B192" s="517">
        <v>192</v>
      </c>
      <c r="C192" s="520" t="str">
        <f t="shared" si="6"/>
        <v>Dobiček poslovanja</v>
      </c>
      <c r="D192" s="517">
        <f t="shared" si="7"/>
        <v>192</v>
      </c>
      <c r="E192" s="520" t="s">
        <v>631</v>
      </c>
      <c r="F192" s="521" t="s">
        <v>1590</v>
      </c>
      <c r="G192" s="654" t="s">
        <v>2218</v>
      </c>
      <c r="H192" s="521" t="s">
        <v>1408</v>
      </c>
      <c r="I192" s="520" t="s">
        <v>681</v>
      </c>
      <c r="J192" s="797" t="s">
        <v>2023</v>
      </c>
      <c r="K192" s="521" t="s">
        <v>1023</v>
      </c>
      <c r="L192" s="521" t="s">
        <v>631</v>
      </c>
    </row>
    <row r="193" spans="1:12" ht="24" x14ac:dyDescent="0.25">
      <c r="A193" s="723"/>
      <c r="B193" s="517">
        <v>193</v>
      </c>
      <c r="C193" s="520" t="str">
        <f t="shared" si="6"/>
        <v xml:space="preserve">Dobiček, ki ni povezan s poslovanjem </v>
      </c>
      <c r="D193" s="517">
        <f t="shared" si="7"/>
        <v>193</v>
      </c>
      <c r="E193" s="520" t="s">
        <v>632</v>
      </c>
      <c r="F193" s="521" t="s">
        <v>1591</v>
      </c>
      <c r="G193" s="654" t="s">
        <v>2219</v>
      </c>
      <c r="H193" s="521" t="s">
        <v>1409</v>
      </c>
      <c r="I193" s="520" t="s">
        <v>688</v>
      </c>
      <c r="J193" s="797" t="s">
        <v>2024</v>
      </c>
      <c r="K193" s="521" t="s">
        <v>1024</v>
      </c>
      <c r="L193" s="521" t="s">
        <v>632</v>
      </c>
    </row>
    <row r="194" spans="1:12" ht="36" x14ac:dyDescent="0.25">
      <c r="A194" s="723"/>
      <c r="B194" s="517">
        <v>194</v>
      </c>
      <c r="C194" s="520" t="str">
        <f t="shared" ref="C194:C229" si="8">IF(VLOOKUP(B194,$D:$L,$C$1+1,FALSE)="","",VLOOKUP(B194,$D:$L,$C$1+1,FALSE))</f>
        <v>EBIT</v>
      </c>
      <c r="D194" s="517">
        <f t="shared" ref="D194:D229" si="9">B194</f>
        <v>194</v>
      </c>
      <c r="E194" s="520" t="s">
        <v>644</v>
      </c>
      <c r="F194" s="521" t="s">
        <v>644</v>
      </c>
      <c r="G194" s="654" t="s">
        <v>644</v>
      </c>
      <c r="H194" s="521" t="s">
        <v>1410</v>
      </c>
      <c r="I194" s="520" t="s">
        <v>644</v>
      </c>
      <c r="J194" s="797" t="s">
        <v>644</v>
      </c>
      <c r="K194" s="521" t="s">
        <v>1025</v>
      </c>
      <c r="L194" s="521" t="s">
        <v>644</v>
      </c>
    </row>
    <row r="195" spans="1:12" x14ac:dyDescent="0.25">
      <c r="A195" s="723"/>
      <c r="B195" s="517">
        <v>195</v>
      </c>
      <c r="C195" s="520" t="str">
        <f t="shared" si="8"/>
        <v>Finančni prihodek</v>
      </c>
      <c r="D195" s="517">
        <f t="shared" si="9"/>
        <v>195</v>
      </c>
      <c r="E195" s="520" t="s">
        <v>633</v>
      </c>
      <c r="F195" s="521" t="s">
        <v>1592</v>
      </c>
      <c r="G195" s="654" t="s">
        <v>2220</v>
      </c>
      <c r="H195" s="521" t="s">
        <v>1411</v>
      </c>
      <c r="I195" s="520" t="s">
        <v>689</v>
      </c>
      <c r="J195" s="797" t="s">
        <v>2025</v>
      </c>
      <c r="K195" s="521" t="s">
        <v>1026</v>
      </c>
      <c r="L195" s="521" t="s">
        <v>633</v>
      </c>
    </row>
    <row r="196" spans="1:12" x14ac:dyDescent="0.25">
      <c r="A196" s="723"/>
      <c r="B196" s="517">
        <v>196</v>
      </c>
      <c r="C196" s="520" t="str">
        <f t="shared" si="8"/>
        <v>IBIE</v>
      </c>
      <c r="D196" s="517">
        <f t="shared" si="9"/>
        <v>196</v>
      </c>
      <c r="E196" s="520" t="s">
        <v>645</v>
      </c>
      <c r="F196" s="521" t="s">
        <v>645</v>
      </c>
      <c r="G196" s="654" t="s">
        <v>645</v>
      </c>
      <c r="H196" s="521" t="s">
        <v>1412</v>
      </c>
      <c r="I196" s="520" t="s">
        <v>645</v>
      </c>
      <c r="J196" s="797" t="s">
        <v>645</v>
      </c>
      <c r="K196" s="521" t="s">
        <v>645</v>
      </c>
      <c r="L196" s="521" t="s">
        <v>645</v>
      </c>
    </row>
    <row r="197" spans="1:12" ht="24" x14ac:dyDescent="0.25">
      <c r="A197" s="723"/>
      <c r="B197" s="517">
        <v>197</v>
      </c>
      <c r="C197" s="520" t="str">
        <f t="shared" si="8"/>
        <v>Odbitni odhodki za obresti</v>
      </c>
      <c r="D197" s="517">
        <f t="shared" si="9"/>
        <v>197</v>
      </c>
      <c r="E197" s="520" t="s">
        <v>634</v>
      </c>
      <c r="F197" s="521" t="s">
        <v>1593</v>
      </c>
      <c r="G197" s="654" t="s">
        <v>2221</v>
      </c>
      <c r="H197" s="521" t="s">
        <v>1413</v>
      </c>
      <c r="I197" s="520" t="s">
        <v>692</v>
      </c>
      <c r="J197" s="797" t="s">
        <v>2026</v>
      </c>
      <c r="K197" s="521" t="s">
        <v>1027</v>
      </c>
      <c r="L197" s="521" t="s">
        <v>634</v>
      </c>
    </row>
    <row r="198" spans="1:12" ht="24" x14ac:dyDescent="0.25">
      <c r="A198" s="723"/>
      <c r="B198" s="517">
        <v>198</v>
      </c>
      <c r="C198" s="520" t="str">
        <f t="shared" si="8"/>
        <v>EBT</v>
      </c>
      <c r="D198" s="517">
        <f t="shared" si="9"/>
        <v>198</v>
      </c>
      <c r="E198" s="520" t="s">
        <v>646</v>
      </c>
      <c r="F198" s="521" t="s">
        <v>646</v>
      </c>
      <c r="G198" s="654" t="s">
        <v>646</v>
      </c>
      <c r="H198" s="521" t="s">
        <v>1414</v>
      </c>
      <c r="I198" s="520" t="s">
        <v>646</v>
      </c>
      <c r="J198" s="797" t="s">
        <v>646</v>
      </c>
      <c r="K198" s="521" t="s">
        <v>1028</v>
      </c>
      <c r="L198" s="521" t="s">
        <v>646</v>
      </c>
    </row>
    <row r="199" spans="1:12" x14ac:dyDescent="0.25">
      <c r="A199" s="723"/>
      <c r="B199" s="517">
        <v>199</v>
      </c>
      <c r="C199" s="520" t="str">
        <f t="shared" si="8"/>
        <v>Davek od dobička</v>
      </c>
      <c r="D199" s="517">
        <f t="shared" si="9"/>
        <v>199</v>
      </c>
      <c r="E199" s="520" t="s">
        <v>635</v>
      </c>
      <c r="F199" s="521" t="s">
        <v>1594</v>
      </c>
      <c r="G199" s="654" t="s">
        <v>2222</v>
      </c>
      <c r="H199" s="521" t="s">
        <v>1415</v>
      </c>
      <c r="I199" s="520" t="s">
        <v>694</v>
      </c>
      <c r="J199" s="797" t="s">
        <v>2027</v>
      </c>
      <c r="K199" s="521" t="s">
        <v>1029</v>
      </c>
      <c r="L199" s="521" t="s">
        <v>635</v>
      </c>
    </row>
    <row r="200" spans="1:12" x14ac:dyDescent="0.25">
      <c r="A200" s="723"/>
      <c r="B200" s="517">
        <v>200</v>
      </c>
      <c r="C200" s="520" t="str">
        <f t="shared" si="8"/>
        <v>Čisti dobiček</v>
      </c>
      <c r="D200" s="517">
        <f t="shared" si="9"/>
        <v>200</v>
      </c>
      <c r="E200" s="520" t="s">
        <v>539</v>
      </c>
      <c r="F200" s="521" t="s">
        <v>1595</v>
      </c>
      <c r="G200" s="654" t="s">
        <v>2223</v>
      </c>
      <c r="H200" s="521" t="s">
        <v>1416</v>
      </c>
      <c r="I200" s="520" t="s">
        <v>695</v>
      </c>
      <c r="J200" s="797" t="s">
        <v>2028</v>
      </c>
      <c r="K200" s="521" t="s">
        <v>1030</v>
      </c>
      <c r="L200" s="521" t="s">
        <v>539</v>
      </c>
    </row>
    <row r="201" spans="1:12" ht="24" x14ac:dyDescent="0.25">
      <c r="A201" s="723"/>
      <c r="B201" s="517">
        <v>201</v>
      </c>
      <c r="C201" s="520" t="str">
        <f t="shared" si="8"/>
        <v>Poslovni denarni tokovi</v>
      </c>
      <c r="D201" s="517">
        <f t="shared" si="9"/>
        <v>201</v>
      </c>
      <c r="E201" s="520" t="s">
        <v>857</v>
      </c>
      <c r="F201" s="521" t="s">
        <v>1596</v>
      </c>
      <c r="G201" s="654" t="s">
        <v>2224</v>
      </c>
      <c r="H201" s="521" t="s">
        <v>1417</v>
      </c>
      <c r="I201" s="520" t="s">
        <v>858</v>
      </c>
      <c r="J201" s="797" t="s">
        <v>2029</v>
      </c>
      <c r="K201" s="521" t="s">
        <v>1031</v>
      </c>
      <c r="L201" s="521" t="s">
        <v>857</v>
      </c>
    </row>
    <row r="202" spans="1:12" ht="24" x14ac:dyDescent="0.25">
      <c r="A202" s="723"/>
      <c r="B202" s="517">
        <v>202</v>
      </c>
      <c r="C202" s="520" t="str">
        <f t="shared" si="8"/>
        <v>Denarni tokovi iz naložbenja</v>
      </c>
      <c r="D202" s="517">
        <f t="shared" si="9"/>
        <v>202</v>
      </c>
      <c r="E202" s="520" t="s">
        <v>538</v>
      </c>
      <c r="F202" s="521" t="s">
        <v>1597</v>
      </c>
      <c r="G202" s="654" t="s">
        <v>2225</v>
      </c>
      <c r="H202" s="521" t="s">
        <v>1418</v>
      </c>
      <c r="I202" s="520" t="s">
        <v>859</v>
      </c>
      <c r="J202" s="797" t="s">
        <v>2030</v>
      </c>
      <c r="K202" s="521" t="s">
        <v>1032</v>
      </c>
      <c r="L202" s="521" t="s">
        <v>538</v>
      </c>
    </row>
    <row r="203" spans="1:12" ht="24" x14ac:dyDescent="0.25">
      <c r="A203" s="723"/>
      <c r="B203" s="517">
        <v>203</v>
      </c>
      <c r="C203" s="520" t="str">
        <f t="shared" si="8"/>
        <v>Denarni tokovi iz vlaganja (financiranja)</v>
      </c>
      <c r="D203" s="517">
        <f t="shared" si="9"/>
        <v>203</v>
      </c>
      <c r="E203" s="520" t="s">
        <v>570</v>
      </c>
      <c r="F203" s="521" t="s">
        <v>1598</v>
      </c>
      <c r="G203" s="654" t="s">
        <v>570</v>
      </c>
      <c r="H203" s="521" t="s">
        <v>1419</v>
      </c>
      <c r="I203" s="520" t="s">
        <v>860</v>
      </c>
      <c r="J203" s="797" t="s">
        <v>2031</v>
      </c>
      <c r="K203" s="521" t="s">
        <v>1033</v>
      </c>
      <c r="L203" s="521" t="s">
        <v>570</v>
      </c>
    </row>
    <row r="204" spans="1:12" x14ac:dyDescent="0.25">
      <c r="A204" s="723"/>
      <c r="B204" s="517">
        <v>204</v>
      </c>
      <c r="C204" s="520" t="str">
        <f t="shared" si="8"/>
        <v>Finančni izid</v>
      </c>
      <c r="D204" s="517">
        <f t="shared" si="9"/>
        <v>204</v>
      </c>
      <c r="E204" s="520" t="s">
        <v>637</v>
      </c>
      <c r="F204" s="521" t="s">
        <v>1599</v>
      </c>
      <c r="G204" s="654" t="s">
        <v>2226</v>
      </c>
      <c r="H204" s="521" t="s">
        <v>1420</v>
      </c>
      <c r="I204" s="520" t="s">
        <v>698</v>
      </c>
      <c r="J204" s="797" t="s">
        <v>2032</v>
      </c>
      <c r="K204" s="521" t="s">
        <v>1034</v>
      </c>
      <c r="L204" s="521" t="s">
        <v>637</v>
      </c>
    </row>
    <row r="205" spans="1:12" x14ac:dyDescent="0.25">
      <c r="A205" s="723"/>
      <c r="B205" s="517">
        <v>205</v>
      </c>
      <c r="C205" s="520" t="str">
        <f t="shared" si="8"/>
        <v>DSCR</v>
      </c>
      <c r="D205" s="517">
        <f t="shared" si="9"/>
        <v>205</v>
      </c>
      <c r="E205" s="520" t="s">
        <v>647</v>
      </c>
      <c r="F205" s="521" t="s">
        <v>647</v>
      </c>
      <c r="G205" s="654" t="s">
        <v>647</v>
      </c>
      <c r="H205" s="521" t="s">
        <v>1421</v>
      </c>
      <c r="I205" s="520" t="s">
        <v>647</v>
      </c>
      <c r="J205" s="797" t="s">
        <v>647</v>
      </c>
      <c r="K205" s="521" t="s">
        <v>1035</v>
      </c>
      <c r="L205" s="521" t="s">
        <v>647</v>
      </c>
    </row>
    <row r="206" spans="1:12" x14ac:dyDescent="0.25">
      <c r="A206" s="723"/>
      <c r="B206" s="517">
        <v>206</v>
      </c>
      <c r="C206" s="520" t="str">
        <f t="shared" si="8"/>
        <v>LLCR</v>
      </c>
      <c r="D206" s="517">
        <f t="shared" si="9"/>
        <v>206</v>
      </c>
      <c r="E206" s="520" t="s">
        <v>648</v>
      </c>
      <c r="F206" s="521" t="s">
        <v>648</v>
      </c>
      <c r="G206" s="654" t="s">
        <v>648</v>
      </c>
      <c r="H206" s="521" t="s">
        <v>1422</v>
      </c>
      <c r="I206" s="520" t="s">
        <v>648</v>
      </c>
      <c r="J206" s="797" t="s">
        <v>2033</v>
      </c>
      <c r="K206" s="521" t="s">
        <v>648</v>
      </c>
      <c r="L206" s="521" t="s">
        <v>648</v>
      </c>
    </row>
    <row r="207" spans="1:12" ht="36" x14ac:dyDescent="0.25">
      <c r="A207" s="723"/>
      <c r="B207" s="517">
        <v>207</v>
      </c>
      <c r="C207" s="520" t="str">
        <f t="shared" si="8"/>
        <v>DEBT SERVICE COVER RATIO</v>
      </c>
      <c r="D207" s="517">
        <f t="shared" si="9"/>
        <v>207</v>
      </c>
      <c r="E207" s="520" t="s">
        <v>650</v>
      </c>
      <c r="F207" s="521" t="s">
        <v>1600</v>
      </c>
      <c r="G207" s="654" t="s">
        <v>2227</v>
      </c>
      <c r="H207" s="521" t="s">
        <v>1423</v>
      </c>
      <c r="I207" s="520" t="s">
        <v>650</v>
      </c>
      <c r="J207" s="797" t="s">
        <v>650</v>
      </c>
      <c r="K207" s="521" t="s">
        <v>650</v>
      </c>
      <c r="L207" s="521" t="s">
        <v>650</v>
      </c>
    </row>
    <row r="208" spans="1:12" ht="24" x14ac:dyDescent="0.25">
      <c r="A208" s="723"/>
      <c r="B208" s="517">
        <v>208</v>
      </c>
      <c r="C208" s="520" t="str">
        <f t="shared" si="8"/>
        <v>LOAN LIFE COVER RATIO</v>
      </c>
      <c r="D208" s="517">
        <f t="shared" si="9"/>
        <v>208</v>
      </c>
      <c r="E208" s="520" t="s">
        <v>649</v>
      </c>
      <c r="F208" s="521" t="s">
        <v>1601</v>
      </c>
      <c r="G208" s="654" t="s">
        <v>2228</v>
      </c>
      <c r="H208" s="521" t="s">
        <v>1424</v>
      </c>
      <c r="I208" s="520" t="s">
        <v>649</v>
      </c>
      <c r="J208" s="797" t="s">
        <v>649</v>
      </c>
      <c r="K208" s="521" t="s">
        <v>649</v>
      </c>
      <c r="L208" s="521" t="s">
        <v>649</v>
      </c>
    </row>
    <row r="209" spans="1:12" x14ac:dyDescent="0.25">
      <c r="A209" s="723"/>
      <c r="B209" s="517">
        <v>209</v>
      </c>
      <c r="C209" s="520" t="str">
        <f t="shared" si="8"/>
        <v>LEGENDA</v>
      </c>
      <c r="D209" s="517">
        <f t="shared" si="9"/>
        <v>209</v>
      </c>
      <c r="E209" s="520" t="s">
        <v>685</v>
      </c>
      <c r="F209" s="521" t="s">
        <v>1602</v>
      </c>
      <c r="G209" s="654" t="s">
        <v>2229</v>
      </c>
      <c r="H209" s="521" t="s">
        <v>1425</v>
      </c>
      <c r="I209" s="520" t="s">
        <v>641</v>
      </c>
      <c r="J209" s="797" t="s">
        <v>641</v>
      </c>
      <c r="K209" s="521" t="s">
        <v>685</v>
      </c>
      <c r="L209" s="521" t="s">
        <v>685</v>
      </c>
    </row>
    <row r="210" spans="1:12" ht="60" x14ac:dyDescent="0.25">
      <c r="A210" s="723"/>
      <c r="B210" s="517">
        <v>210</v>
      </c>
      <c r="C210" s="520" t="str">
        <f t="shared" si="8"/>
        <v>Dobiček pred obrestmi, davki, depreciacijo in amortizacijo (Earnings Before Interest, Taxes, Depreciation and Amortization)</v>
      </c>
      <c r="D210" s="517">
        <f t="shared" si="9"/>
        <v>210</v>
      </c>
      <c r="E210" s="520" t="s">
        <v>642</v>
      </c>
      <c r="F210" s="521" t="s">
        <v>1603</v>
      </c>
      <c r="G210" s="654" t="s">
        <v>2230</v>
      </c>
      <c r="H210" s="521" t="s">
        <v>1426</v>
      </c>
      <c r="I210" s="520" t="s">
        <v>699</v>
      </c>
      <c r="J210" s="797" t="s">
        <v>2034</v>
      </c>
      <c r="K210" s="521" t="s">
        <v>1036</v>
      </c>
      <c r="L210" s="521" t="s">
        <v>642</v>
      </c>
    </row>
    <row r="211" spans="1:12" ht="36" x14ac:dyDescent="0.25">
      <c r="A211" s="723"/>
      <c r="B211" s="517">
        <v>211</v>
      </c>
      <c r="C211" s="520" t="str">
        <f t="shared" si="8"/>
        <v>Dobiček pred obrestmi in davki (Earnings Before Interest and Taxes)</v>
      </c>
      <c r="D211" s="517">
        <f t="shared" si="9"/>
        <v>211</v>
      </c>
      <c r="E211" s="520" t="s">
        <v>690</v>
      </c>
      <c r="F211" s="521" t="s">
        <v>1604</v>
      </c>
      <c r="G211" s="654" t="s">
        <v>2231</v>
      </c>
      <c r="H211" s="521" t="s">
        <v>1427</v>
      </c>
      <c r="I211" s="520" t="s">
        <v>700</v>
      </c>
      <c r="J211" s="797" t="s">
        <v>2035</v>
      </c>
      <c r="K211" s="521" t="s">
        <v>1037</v>
      </c>
      <c r="L211" s="521" t="s">
        <v>690</v>
      </c>
    </row>
    <row r="212" spans="1:12" ht="36" x14ac:dyDescent="0.25">
      <c r="A212" s="723"/>
      <c r="B212" s="517">
        <v>212</v>
      </c>
      <c r="C212" s="520" t="str">
        <f t="shared" si="8"/>
        <v>Dobiček pred odhodki za obresti (Income Before Interest Expense)</v>
      </c>
      <c r="D212" s="517">
        <f t="shared" si="9"/>
        <v>212</v>
      </c>
      <c r="E212" s="520" t="s">
        <v>691</v>
      </c>
      <c r="F212" s="521" t="s">
        <v>1605</v>
      </c>
      <c r="G212" s="654" t="s">
        <v>2232</v>
      </c>
      <c r="H212" s="521" t="s">
        <v>1428</v>
      </c>
      <c r="I212" s="520" t="s">
        <v>701</v>
      </c>
      <c r="J212" s="797" t="s">
        <v>2036</v>
      </c>
      <c r="K212" s="521" t="s">
        <v>1038</v>
      </c>
      <c r="L212" s="521" t="s">
        <v>691</v>
      </c>
    </row>
    <row r="213" spans="1:12" ht="36" x14ac:dyDescent="0.25">
      <c r="A213" s="723"/>
      <c r="B213" s="517">
        <v>213</v>
      </c>
      <c r="C213" s="520" t="str">
        <f t="shared" si="8"/>
        <v>Dobiček pred davkom od dobička (Earnings Before Income Taxes)</v>
      </c>
      <c r="D213" s="517">
        <f t="shared" si="9"/>
        <v>213</v>
      </c>
      <c r="E213" s="520" t="s">
        <v>693</v>
      </c>
      <c r="F213" s="521" t="s">
        <v>1606</v>
      </c>
      <c r="G213" s="654" t="s">
        <v>2233</v>
      </c>
      <c r="H213" s="521" t="s">
        <v>1429</v>
      </c>
      <c r="I213" s="520" t="s">
        <v>702</v>
      </c>
      <c r="J213" s="797" t="s">
        <v>2037</v>
      </c>
      <c r="K213" s="521" t="s">
        <v>1039</v>
      </c>
      <c r="L213" s="521" t="s">
        <v>693</v>
      </c>
    </row>
    <row r="214" spans="1:12" ht="24" x14ac:dyDescent="0.25">
      <c r="A214" s="723"/>
      <c r="B214" s="517">
        <v>214</v>
      </c>
      <c r="C214" s="520" t="str">
        <f t="shared" si="8"/>
        <v>Kazalnik servisiranja dolga (DSCR)</v>
      </c>
      <c r="D214" s="517">
        <f t="shared" si="9"/>
        <v>214</v>
      </c>
      <c r="E214" s="520" t="s">
        <v>652</v>
      </c>
      <c r="F214" s="521" t="s">
        <v>1607</v>
      </c>
      <c r="G214" s="654" t="s">
        <v>2234</v>
      </c>
      <c r="H214" s="521" t="s">
        <v>1430</v>
      </c>
      <c r="I214" s="524" t="s">
        <v>786</v>
      </c>
      <c r="J214" s="797" t="s">
        <v>2038</v>
      </c>
      <c r="K214" s="521" t="s">
        <v>1040</v>
      </c>
      <c r="L214" s="521" t="s">
        <v>652</v>
      </c>
    </row>
    <row r="215" spans="1:12" ht="24" x14ac:dyDescent="0.25">
      <c r="A215" s="723"/>
      <c r="B215" s="517">
        <v>215</v>
      </c>
      <c r="C215" s="520" t="str">
        <f t="shared" si="8"/>
        <v>Kazalnik servisiranja dolga v njegovi življenjski dobi (LLCR)</v>
      </c>
      <c r="D215" s="517">
        <f t="shared" si="9"/>
        <v>215</v>
      </c>
      <c r="E215" s="520" t="s">
        <v>653</v>
      </c>
      <c r="F215" s="521" t="s">
        <v>1608</v>
      </c>
      <c r="G215" s="654" t="s">
        <v>653</v>
      </c>
      <c r="H215" s="521" t="s">
        <v>1431</v>
      </c>
      <c r="I215" s="524" t="s">
        <v>653</v>
      </c>
      <c r="J215" s="797" t="s">
        <v>2039</v>
      </c>
      <c r="K215" s="521" t="s">
        <v>1041</v>
      </c>
      <c r="L215" s="521" t="s">
        <v>653</v>
      </c>
    </row>
    <row r="216" spans="1:12" ht="72" x14ac:dyDescent="0.25">
      <c r="A216" s="723"/>
      <c r="B216" s="517">
        <v>216</v>
      </c>
      <c r="C216" s="520" t="str">
        <f t="shared" si="8"/>
        <v>EBITDA  / servisiranje dolga. Servisiranje dolga = plačilo posojila (dolgoročni dolgovi, ki v kratkem zapadejo + obresti). DSCR se računa na letni osnovi.</v>
      </c>
      <c r="D216" s="517">
        <f t="shared" si="9"/>
        <v>216</v>
      </c>
      <c r="E216" s="520" t="s">
        <v>654</v>
      </c>
      <c r="F216" s="521" t="s">
        <v>1609</v>
      </c>
      <c r="G216" s="654" t="s">
        <v>2235</v>
      </c>
      <c r="H216" s="521" t="s">
        <v>1432</v>
      </c>
      <c r="I216" s="524" t="s">
        <v>787</v>
      </c>
      <c r="J216" s="797" t="s">
        <v>2040</v>
      </c>
      <c r="K216" s="521" t="s">
        <v>1042</v>
      </c>
      <c r="L216" s="521" t="s">
        <v>654</v>
      </c>
    </row>
    <row r="217" spans="1:12" ht="48" x14ac:dyDescent="0.25">
      <c r="A217" s="724"/>
      <c r="B217" s="517">
        <v>217</v>
      </c>
      <c r="C217" s="520" t="str">
        <f t="shared" si="8"/>
        <v>Neto sedanja vrednost denarnih tokov, ki so na voljo za servisiranje dolga / stanje dolga</v>
      </c>
      <c r="D217" s="517">
        <f t="shared" si="9"/>
        <v>217</v>
      </c>
      <c r="E217" s="520" t="s">
        <v>651</v>
      </c>
      <c r="F217" s="521" t="s">
        <v>1610</v>
      </c>
      <c r="G217" s="654" t="s">
        <v>2236</v>
      </c>
      <c r="H217" s="521" t="s">
        <v>1433</v>
      </c>
      <c r="I217" s="524" t="s">
        <v>785</v>
      </c>
      <c r="J217" s="797" t="s">
        <v>2041</v>
      </c>
      <c r="K217" s="521" t="s">
        <v>1043</v>
      </c>
      <c r="L217" s="521" t="s">
        <v>651</v>
      </c>
    </row>
    <row r="218" spans="1:12" ht="48" x14ac:dyDescent="0.25">
      <c r="A218" s="722">
        <v>7</v>
      </c>
      <c r="B218" s="517">
        <v>218</v>
      </c>
      <c r="C218" s="520" t="str">
        <f t="shared" si="8"/>
        <v>To orodje so razvili projektni partnerji v okviru projekta SISMA</v>
      </c>
      <c r="D218" s="517">
        <f t="shared" si="9"/>
        <v>218</v>
      </c>
      <c r="E218" s="520" t="s">
        <v>781</v>
      </c>
      <c r="F218" s="521" t="s">
        <v>1611</v>
      </c>
      <c r="G218" s="654" t="s">
        <v>2237</v>
      </c>
      <c r="H218" s="521" t="s">
        <v>1434</v>
      </c>
      <c r="I218" s="520" t="s">
        <v>740</v>
      </c>
      <c r="J218" s="797" t="s">
        <v>2042</v>
      </c>
      <c r="K218" s="521" t="s">
        <v>1044</v>
      </c>
      <c r="L218" s="521" t="s">
        <v>781</v>
      </c>
    </row>
    <row r="219" spans="1:12" x14ac:dyDescent="0.25">
      <c r="A219" s="723"/>
      <c r="B219" s="517">
        <v>219</v>
      </c>
      <c r="C219" s="520" t="str">
        <f t="shared" si="8"/>
        <v>INFORMEST</v>
      </c>
      <c r="D219" s="517">
        <f t="shared" si="9"/>
        <v>219</v>
      </c>
      <c r="E219" s="520" t="s">
        <v>751</v>
      </c>
      <c r="F219" s="521" t="s">
        <v>751</v>
      </c>
      <c r="G219" s="654" t="s">
        <v>751</v>
      </c>
      <c r="H219" s="521" t="s">
        <v>751</v>
      </c>
      <c r="I219" s="520" t="s">
        <v>751</v>
      </c>
      <c r="J219" s="797" t="s">
        <v>751</v>
      </c>
      <c r="K219" s="521" t="s">
        <v>751</v>
      </c>
      <c r="L219" s="521" t="s">
        <v>751</v>
      </c>
    </row>
    <row r="220" spans="1:12" ht="24" x14ac:dyDescent="0.25">
      <c r="A220" s="723"/>
      <c r="B220" s="517">
        <v>220</v>
      </c>
      <c r="C220" s="520" t="str">
        <f t="shared" si="8"/>
        <v>Goriška lokalna energetska agencija - GOLEA</v>
      </c>
      <c r="D220" s="517">
        <f t="shared" si="9"/>
        <v>220</v>
      </c>
      <c r="E220" s="520" t="s">
        <v>748</v>
      </c>
      <c r="F220" s="521" t="s">
        <v>748</v>
      </c>
      <c r="G220" s="654" t="s">
        <v>748</v>
      </c>
      <c r="H220" s="521" t="s">
        <v>748</v>
      </c>
      <c r="I220" s="520" t="s">
        <v>749</v>
      </c>
      <c r="J220" s="797" t="s">
        <v>2043</v>
      </c>
      <c r="K220" s="521" t="s">
        <v>748</v>
      </c>
      <c r="L220" s="521" t="s">
        <v>748</v>
      </c>
    </row>
    <row r="221" spans="1:12" x14ac:dyDescent="0.25">
      <c r="A221" s="723"/>
      <c r="B221" s="517">
        <v>221</v>
      </c>
      <c r="C221" s="520" t="str">
        <f t="shared" si="8"/>
        <v>Konzorcij RIBERA</v>
      </c>
      <c r="D221" s="517">
        <f t="shared" si="9"/>
        <v>221</v>
      </c>
      <c r="E221" s="520" t="s">
        <v>750</v>
      </c>
      <c r="F221" s="521" t="s">
        <v>1612</v>
      </c>
      <c r="G221" s="654" t="s">
        <v>750</v>
      </c>
      <c r="H221" s="521" t="s">
        <v>750</v>
      </c>
      <c r="I221" s="520" t="s">
        <v>750</v>
      </c>
      <c r="J221" s="797" t="s">
        <v>2044</v>
      </c>
      <c r="K221" s="521" t="s">
        <v>750</v>
      </c>
      <c r="L221" s="521" t="s">
        <v>750</v>
      </c>
    </row>
    <row r="222" spans="1:12" ht="24" x14ac:dyDescent="0.25">
      <c r="A222" s="723"/>
      <c r="B222" s="517">
        <v>222</v>
      </c>
      <c r="C222" s="520" t="str">
        <f t="shared" si="8"/>
        <v>Energetska agencija Firence - AFE</v>
      </c>
      <c r="D222" s="517">
        <f t="shared" si="9"/>
        <v>222</v>
      </c>
      <c r="E222" s="520" t="s">
        <v>752</v>
      </c>
      <c r="F222" s="521" t="s">
        <v>752</v>
      </c>
      <c r="G222" s="654" t="s">
        <v>752</v>
      </c>
      <c r="H222" s="521" t="s">
        <v>752</v>
      </c>
      <c r="I222" s="520" t="s">
        <v>753</v>
      </c>
      <c r="J222" s="797" t="s">
        <v>2045</v>
      </c>
      <c r="K222" s="521" t="s">
        <v>752</v>
      </c>
      <c r="L222" s="521" t="s">
        <v>752</v>
      </c>
    </row>
    <row r="223" spans="1:12" ht="36" x14ac:dyDescent="0.25">
      <c r="A223" s="723"/>
      <c r="B223" s="517">
        <v>223</v>
      </c>
      <c r="C223" s="520" t="str">
        <f t="shared" si="8"/>
        <v>Center za obnovljive vire energije in varčevanje z energijo - CRES</v>
      </c>
      <c r="D223" s="517">
        <f t="shared" si="9"/>
        <v>223</v>
      </c>
      <c r="E223" s="520" t="s">
        <v>754</v>
      </c>
      <c r="F223" s="521" t="s">
        <v>754</v>
      </c>
      <c r="G223" s="654" t="s">
        <v>754</v>
      </c>
      <c r="H223" s="521" t="s">
        <v>1435</v>
      </c>
      <c r="I223" s="520" t="s">
        <v>755</v>
      </c>
      <c r="J223" s="797" t="s">
        <v>2046</v>
      </c>
      <c r="K223" s="521" t="s">
        <v>754</v>
      </c>
      <c r="L223" s="521" t="s">
        <v>754</v>
      </c>
    </row>
    <row r="224" spans="1:12" ht="24" x14ac:dyDescent="0.25">
      <c r="A224" s="723"/>
      <c r="B224" s="517">
        <v>224</v>
      </c>
      <c r="C224" s="520" t="str">
        <f t="shared" si="8"/>
        <v>Agencija za energijo Furlanije Julijske krajine - APE FVG</v>
      </c>
      <c r="D224" s="517">
        <f t="shared" si="9"/>
        <v>224</v>
      </c>
      <c r="E224" s="520" t="s">
        <v>756</v>
      </c>
      <c r="F224" s="521" t="s">
        <v>756</v>
      </c>
      <c r="G224" s="654" t="s">
        <v>756</v>
      </c>
      <c r="H224" s="521" t="s">
        <v>756</v>
      </c>
      <c r="I224" s="520" t="s">
        <v>757</v>
      </c>
      <c r="J224" s="797" t="s">
        <v>2047</v>
      </c>
      <c r="K224" s="521" t="s">
        <v>756</v>
      </c>
      <c r="L224" s="521" t="s">
        <v>756</v>
      </c>
    </row>
    <row r="225" spans="1:12" ht="24" x14ac:dyDescent="0.25">
      <c r="A225" s="723"/>
      <c r="B225" s="517">
        <v>225</v>
      </c>
      <c r="C225" s="520" t="str">
        <f t="shared" si="8"/>
        <v>Agencija za ekonomski razvoj - PREDA</v>
      </c>
      <c r="D225" s="517">
        <f t="shared" si="9"/>
        <v>225</v>
      </c>
      <c r="E225" s="520" t="s">
        <v>758</v>
      </c>
      <c r="F225" s="521" t="s">
        <v>758</v>
      </c>
      <c r="G225" s="654" t="s">
        <v>758</v>
      </c>
      <c r="H225" s="521" t="s">
        <v>758</v>
      </c>
      <c r="I225" s="520" t="s">
        <v>759</v>
      </c>
      <c r="J225" s="797" t="s">
        <v>2048</v>
      </c>
      <c r="K225" s="521" t="s">
        <v>1045</v>
      </c>
      <c r="L225" s="521" t="s">
        <v>758</v>
      </c>
    </row>
    <row r="226" spans="1:12" ht="36" x14ac:dyDescent="0.25">
      <c r="A226" s="723"/>
      <c r="B226" s="517">
        <v>226</v>
      </c>
      <c r="C226" s="520" t="str">
        <f t="shared" si="8"/>
        <v>Komisariat za alternativne vire energije in atomsko energijo - CEA</v>
      </c>
      <c r="D226" s="517">
        <f t="shared" si="9"/>
        <v>226</v>
      </c>
      <c r="E226" s="520" t="s">
        <v>760</v>
      </c>
      <c r="F226" s="521" t="s">
        <v>760</v>
      </c>
      <c r="G226" s="654" t="s">
        <v>760</v>
      </c>
      <c r="H226" s="521" t="s">
        <v>760</v>
      </c>
      <c r="I226" s="520" t="s">
        <v>761</v>
      </c>
      <c r="J226" s="797" t="s">
        <v>2049</v>
      </c>
      <c r="K226" s="521" t="s">
        <v>760</v>
      </c>
      <c r="L226" s="521" t="s">
        <v>760</v>
      </c>
    </row>
    <row r="227" spans="1:12" ht="108" x14ac:dyDescent="0.25">
      <c r="A227" s="723"/>
      <c r="B227" s="517">
        <v>227</v>
      </c>
      <c r="C227" s="520" t="str">
        <f t="shared" si="8"/>
        <v>Predlagana metoda izračuna je poenostavljena metoda za predhodno oceno energetskih in finančnih vidikov, povezanih z naložbami v energetsko učinkovitost javnih stavb.</v>
      </c>
      <c r="D227" s="517">
        <f t="shared" si="9"/>
        <v>227</v>
      </c>
      <c r="E227" s="520" t="s">
        <v>782</v>
      </c>
      <c r="F227" s="521" t="s">
        <v>1613</v>
      </c>
      <c r="G227" s="654" t="s">
        <v>2238</v>
      </c>
      <c r="H227" s="521" t="s">
        <v>1436</v>
      </c>
      <c r="I227" s="520" t="s">
        <v>746</v>
      </c>
      <c r="J227" s="797" t="s">
        <v>2050</v>
      </c>
      <c r="K227" s="521" t="s">
        <v>1046</v>
      </c>
      <c r="L227" s="521" t="s">
        <v>782</v>
      </c>
    </row>
    <row r="228" spans="1:12" ht="72" x14ac:dyDescent="0.25">
      <c r="A228" s="723"/>
      <c r="B228" s="517">
        <v>228</v>
      </c>
      <c r="C228" s="520" t="str">
        <f t="shared" si="8"/>
        <v>To orodje ne nadomešča podrobnih tehničnih in ekonomskih analiz, ki jih morajo opraviti strokovnjaki z zadevnega področja.</v>
      </c>
      <c r="D228" s="517">
        <f t="shared" si="9"/>
        <v>228</v>
      </c>
      <c r="E228" s="520" t="s">
        <v>783</v>
      </c>
      <c r="F228" s="521" t="s">
        <v>1614</v>
      </c>
      <c r="G228" s="654" t="s">
        <v>2239</v>
      </c>
      <c r="H228" s="521" t="s">
        <v>1437</v>
      </c>
      <c r="I228" s="520" t="s">
        <v>762</v>
      </c>
      <c r="J228" s="797" t="s">
        <v>2051</v>
      </c>
      <c r="K228" s="521" t="s">
        <v>1047</v>
      </c>
      <c r="L228" s="521" t="s">
        <v>783</v>
      </c>
    </row>
    <row r="229" spans="1:12" ht="96" x14ac:dyDescent="0.25">
      <c r="A229" s="724"/>
      <c r="B229" s="517">
        <v>229</v>
      </c>
      <c r="C229" s="520" t="str">
        <f t="shared" si="8"/>
        <v>Avtorji ne prevzemajo nikakršne odgovornosti za neustrezno uporabo tega orodja kot tudi ne za morebitne napake v izračunu, ki se lahko pojavijo pri drugih ocenah, opravljenih na drugačen način.</v>
      </c>
      <c r="D229" s="517">
        <f t="shared" si="9"/>
        <v>229</v>
      </c>
      <c r="E229" s="520" t="s">
        <v>784</v>
      </c>
      <c r="F229" s="521" t="s">
        <v>1615</v>
      </c>
      <c r="G229" s="654" t="s">
        <v>2240</v>
      </c>
      <c r="H229" s="521" t="s">
        <v>1438</v>
      </c>
      <c r="I229" s="520" t="s">
        <v>747</v>
      </c>
      <c r="J229" s="797" t="s">
        <v>2052</v>
      </c>
      <c r="K229" s="521" t="s">
        <v>1048</v>
      </c>
      <c r="L229" s="521" t="s">
        <v>784</v>
      </c>
    </row>
  </sheetData>
  <sheetProtection password="D639" sheet="1" objects="1" scenarios="1" selectLockedCells="1"/>
  <mergeCells count="7">
    <mergeCell ref="A218:A229"/>
    <mergeCell ref="A3:A29"/>
    <mergeCell ref="A31:A72"/>
    <mergeCell ref="A178:A217"/>
    <mergeCell ref="A148:A177"/>
    <mergeCell ref="A73:A109"/>
    <mergeCell ref="A110:A14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0"/>
  <sheetViews>
    <sheetView workbookViewId="0">
      <pane ySplit="2" topLeftCell="A3" activePane="bottomLeft" state="frozen"/>
      <selection pane="bottomLeft" activeCell="I3" sqref="I3"/>
    </sheetView>
  </sheetViews>
  <sheetFormatPr defaultRowHeight="12" x14ac:dyDescent="0.25"/>
  <cols>
    <col min="1" max="1" width="9.140625" style="520"/>
    <col min="2" max="2" width="26.7109375" style="520" customWidth="1"/>
    <col min="3" max="3" width="9.140625" style="520"/>
    <col min="4" max="4" width="26.7109375" style="520" customWidth="1"/>
    <col min="5" max="6" width="26.7109375" style="521" customWidth="1"/>
    <col min="7" max="7" width="26.7109375" style="520" customWidth="1"/>
    <col min="8" max="11" width="26.7109375" style="521" customWidth="1"/>
    <col min="12" max="16384" width="9.140625" style="522"/>
  </cols>
  <sheetData>
    <row r="1" spans="1:11" s="519" customFormat="1" x14ac:dyDescent="0.25">
      <c r="A1" s="517"/>
      <c r="B1" s="518">
        <f>'1'!F55</f>
        <v>6</v>
      </c>
      <c r="C1" s="517"/>
      <c r="D1" s="518">
        <v>1</v>
      </c>
      <c r="E1" s="518">
        <v>2</v>
      </c>
      <c r="F1" s="518">
        <v>3</v>
      </c>
      <c r="G1" s="518">
        <v>4</v>
      </c>
      <c r="H1" s="518">
        <v>5</v>
      </c>
      <c r="I1" s="518">
        <v>6</v>
      </c>
      <c r="J1" s="518">
        <v>7</v>
      </c>
      <c r="K1" s="518">
        <v>8</v>
      </c>
    </row>
    <row r="2" spans="1:11" s="519" customFormat="1" x14ac:dyDescent="0.25">
      <c r="A2" s="517" t="s">
        <v>71</v>
      </c>
      <c r="B2" s="518" t="s">
        <v>70</v>
      </c>
      <c r="C2" s="517" t="str">
        <f>A2</f>
        <v>No.</v>
      </c>
      <c r="D2" s="518" t="str">
        <f>Translation!E2</f>
        <v>English</v>
      </c>
      <c r="E2" s="518" t="str">
        <f>Translation!F2</f>
        <v>Español</v>
      </c>
      <c r="F2" s="518" t="str">
        <f>Translation!G2</f>
        <v>Français</v>
      </c>
      <c r="G2" s="518" t="str">
        <f>Translation!H2</f>
        <v>Greek/Ελληνικά</v>
      </c>
      <c r="H2" s="518" t="str">
        <f>Translation!I2</f>
        <v>Italiano</v>
      </c>
      <c r="I2" s="518" t="str">
        <f>Translation!J2</f>
        <v>Slovenščina</v>
      </c>
      <c r="J2" s="518" t="str">
        <f>Translation!K2</f>
        <v>Srpski</v>
      </c>
      <c r="K2" s="518" t="str">
        <f>Translation!L2</f>
        <v>Language 8</v>
      </c>
    </row>
    <row r="3" spans="1:11" ht="24" x14ac:dyDescent="0.25">
      <c r="A3" s="517">
        <v>3</v>
      </c>
      <c r="B3" s="520" t="str">
        <f t="shared" ref="B3:B34" si="0">IF(VLOOKUP(A3,$C:$K,$B$1+1,FALSE)="","",VLOOKUP(A3,$C:$K,$B$1+1,FALSE))</f>
        <v>Podatki o konvencionalnem sistemu ogrevanja</v>
      </c>
      <c r="C3" s="517">
        <f>A3</f>
        <v>3</v>
      </c>
      <c r="D3" s="520" t="s">
        <v>792</v>
      </c>
      <c r="E3" s="521" t="s">
        <v>1616</v>
      </c>
      <c r="F3" s="521" t="s">
        <v>1732</v>
      </c>
      <c r="G3" s="521" t="s">
        <v>1142</v>
      </c>
      <c r="H3" s="520" t="s">
        <v>233</v>
      </c>
      <c r="I3" s="798" t="s">
        <v>1837</v>
      </c>
      <c r="J3" s="521" t="s">
        <v>1049</v>
      </c>
      <c r="K3" s="521" t="s">
        <v>792</v>
      </c>
    </row>
    <row r="4" spans="1:11" x14ac:dyDescent="0.25">
      <c r="A4" s="517">
        <v>4</v>
      </c>
      <c r="B4" s="520" t="str">
        <f t="shared" si="0"/>
        <v>Porazdelitev sevanja</v>
      </c>
      <c r="C4" s="517">
        <f t="shared" ref="C4:C67" si="1">A4</f>
        <v>4</v>
      </c>
      <c r="D4" s="520" t="s">
        <v>788</v>
      </c>
      <c r="E4" s="521" t="s">
        <v>1617</v>
      </c>
      <c r="F4" s="521" t="s">
        <v>1733</v>
      </c>
      <c r="G4" s="521" t="s">
        <v>1143</v>
      </c>
      <c r="H4" s="520" t="s">
        <v>273</v>
      </c>
      <c r="I4" s="798" t="s">
        <v>1838</v>
      </c>
      <c r="J4" s="521" t="s">
        <v>1050</v>
      </c>
      <c r="K4" s="521" t="s">
        <v>788</v>
      </c>
    </row>
    <row r="5" spans="1:11" x14ac:dyDescent="0.25">
      <c r="A5" s="517">
        <v>5</v>
      </c>
      <c r="B5" s="520" t="str">
        <f t="shared" si="0"/>
        <v>TP</v>
      </c>
      <c r="C5" s="517">
        <f t="shared" si="1"/>
        <v>5</v>
      </c>
      <c r="D5" s="520" t="s">
        <v>225</v>
      </c>
      <c r="E5" s="521" t="s">
        <v>1618</v>
      </c>
      <c r="F5" s="521" t="s">
        <v>225</v>
      </c>
      <c r="G5" s="521" t="s">
        <v>1144</v>
      </c>
      <c r="H5" s="520" t="s">
        <v>87</v>
      </c>
      <c r="I5" s="798" t="s">
        <v>2298</v>
      </c>
      <c r="J5" s="521" t="s">
        <v>1051</v>
      </c>
      <c r="K5" s="521" t="s">
        <v>225</v>
      </c>
    </row>
    <row r="6" spans="1:11" x14ac:dyDescent="0.25">
      <c r="A6" s="517">
        <v>6</v>
      </c>
      <c r="B6" s="520" t="str">
        <f t="shared" si="0"/>
        <v>Min. TP</v>
      </c>
      <c r="C6" s="517">
        <f t="shared" si="1"/>
        <v>6</v>
      </c>
      <c r="D6" s="520" t="s">
        <v>789</v>
      </c>
      <c r="E6" s="521" t="s">
        <v>1619</v>
      </c>
      <c r="F6" s="521" t="s">
        <v>789</v>
      </c>
      <c r="G6" s="521" t="s">
        <v>1145</v>
      </c>
      <c r="H6" s="520" t="s">
        <v>226</v>
      </c>
      <c r="I6" s="798" t="s">
        <v>2299</v>
      </c>
      <c r="J6" s="521" t="s">
        <v>789</v>
      </c>
      <c r="K6" s="521" t="s">
        <v>789</v>
      </c>
    </row>
    <row r="7" spans="1:11" x14ac:dyDescent="0.25">
      <c r="A7" s="517">
        <v>7</v>
      </c>
      <c r="B7" s="520" t="str">
        <f t="shared" si="0"/>
        <v>Maks. TP</v>
      </c>
      <c r="C7" s="517">
        <f t="shared" si="1"/>
        <v>7</v>
      </c>
      <c r="D7" s="520" t="s">
        <v>790</v>
      </c>
      <c r="E7" s="521" t="s">
        <v>1620</v>
      </c>
      <c r="F7" s="521" t="s">
        <v>790</v>
      </c>
      <c r="G7" s="521" t="s">
        <v>1146</v>
      </c>
      <c r="H7" s="520" t="s">
        <v>227</v>
      </c>
      <c r="I7" s="798" t="s">
        <v>2300</v>
      </c>
      <c r="J7" s="521" t="s">
        <v>790</v>
      </c>
      <c r="K7" s="521" t="s">
        <v>790</v>
      </c>
    </row>
    <row r="8" spans="1:11" ht="24" x14ac:dyDescent="0.25">
      <c r="A8" s="517">
        <v>8</v>
      </c>
      <c r="B8" s="520" t="str">
        <f t="shared" si="0"/>
        <v>Začetek sezone ogrevanja</v>
      </c>
      <c r="C8" s="517">
        <f t="shared" si="1"/>
        <v>8</v>
      </c>
      <c r="D8" s="520" t="s">
        <v>730</v>
      </c>
      <c r="E8" s="521" t="s">
        <v>1621</v>
      </c>
      <c r="F8" s="521" t="s">
        <v>1734</v>
      </c>
      <c r="G8" s="521" t="s">
        <v>1147</v>
      </c>
      <c r="H8" s="520" t="s">
        <v>231</v>
      </c>
      <c r="I8" s="798" t="s">
        <v>1839</v>
      </c>
      <c r="J8" s="521" t="s">
        <v>1052</v>
      </c>
      <c r="K8" s="521" t="s">
        <v>730</v>
      </c>
    </row>
    <row r="9" spans="1:11" ht="24" x14ac:dyDescent="0.25">
      <c r="A9" s="517">
        <v>9</v>
      </c>
      <c r="B9" s="520" t="str">
        <f t="shared" si="0"/>
        <v>Konec sezone ogrevanja</v>
      </c>
      <c r="C9" s="517">
        <f t="shared" si="1"/>
        <v>9</v>
      </c>
      <c r="D9" s="520" t="s">
        <v>731</v>
      </c>
      <c r="E9" s="521" t="s">
        <v>1622</v>
      </c>
      <c r="F9" s="521" t="s">
        <v>1735</v>
      </c>
      <c r="G9" s="521" t="s">
        <v>1148</v>
      </c>
      <c r="H9" s="520" t="s">
        <v>232</v>
      </c>
      <c r="I9" s="798" t="s">
        <v>1840</v>
      </c>
      <c r="J9" s="521" t="s">
        <v>1053</v>
      </c>
      <c r="K9" s="521" t="s">
        <v>731</v>
      </c>
    </row>
    <row r="10" spans="1:11" x14ac:dyDescent="0.25">
      <c r="A10" s="517">
        <v>10</v>
      </c>
      <c r="B10" s="520" t="str">
        <f t="shared" si="0"/>
        <v>Dnevi ogrevanja</v>
      </c>
      <c r="C10" s="517">
        <f t="shared" si="1"/>
        <v>10</v>
      </c>
      <c r="D10" s="520" t="s">
        <v>229</v>
      </c>
      <c r="E10" s="521" t="s">
        <v>1623</v>
      </c>
      <c r="F10" s="521" t="s">
        <v>1736</v>
      </c>
      <c r="G10" s="521" t="s">
        <v>1149</v>
      </c>
      <c r="H10" s="520" t="s">
        <v>228</v>
      </c>
      <c r="I10" s="798" t="s">
        <v>1841</v>
      </c>
      <c r="J10" s="521" t="s">
        <v>1054</v>
      </c>
      <c r="K10" s="521" t="s">
        <v>229</v>
      </c>
    </row>
    <row r="11" spans="1:11" x14ac:dyDescent="0.25">
      <c r="A11" s="517">
        <v>11</v>
      </c>
      <c r="B11" s="520" t="str">
        <f t="shared" si="0"/>
        <v>Ure ogrevanja na dan</v>
      </c>
      <c r="C11" s="517">
        <f t="shared" si="1"/>
        <v>11</v>
      </c>
      <c r="D11" s="520" t="s">
        <v>791</v>
      </c>
      <c r="E11" s="521" t="s">
        <v>1624</v>
      </c>
      <c r="F11" s="521" t="s">
        <v>1737</v>
      </c>
      <c r="G11" s="521" t="s">
        <v>1150</v>
      </c>
      <c r="H11" s="520" t="s">
        <v>230</v>
      </c>
      <c r="I11" s="798" t="s">
        <v>1842</v>
      </c>
      <c r="J11" s="521" t="s">
        <v>1055</v>
      </c>
      <c r="K11" s="521" t="s">
        <v>791</v>
      </c>
    </row>
    <row r="12" spans="1:11" ht="24" x14ac:dyDescent="0.25">
      <c r="A12" s="517">
        <v>12</v>
      </c>
      <c r="B12" s="520" t="str">
        <f t="shared" si="0"/>
        <v>Porazdelitev dni ogrevanja</v>
      </c>
      <c r="C12" s="517">
        <f t="shared" si="1"/>
        <v>12</v>
      </c>
      <c r="D12" s="520" t="s">
        <v>794</v>
      </c>
      <c r="E12" s="521" t="s">
        <v>1625</v>
      </c>
      <c r="F12" s="521" t="s">
        <v>1738</v>
      </c>
      <c r="G12" s="521" t="s">
        <v>1151</v>
      </c>
      <c r="H12" s="520" t="s">
        <v>234</v>
      </c>
      <c r="I12" s="798" t="s">
        <v>1843</v>
      </c>
      <c r="J12" s="521" t="s">
        <v>1056</v>
      </c>
      <c r="K12" s="521" t="s">
        <v>794</v>
      </c>
    </row>
    <row r="13" spans="1:11" x14ac:dyDescent="0.25">
      <c r="A13" s="517">
        <v>13</v>
      </c>
      <c r="B13" s="520" t="str">
        <f t="shared" si="0"/>
        <v>Porazdelitev TP</v>
      </c>
      <c r="C13" s="517">
        <f t="shared" si="1"/>
        <v>13</v>
      </c>
      <c r="D13" s="520" t="s">
        <v>793</v>
      </c>
      <c r="E13" s="521" t="s">
        <v>1626</v>
      </c>
      <c r="F13" s="521" t="s">
        <v>793</v>
      </c>
      <c r="G13" s="521" t="s">
        <v>1152</v>
      </c>
      <c r="H13" s="520" t="s">
        <v>235</v>
      </c>
      <c r="I13" s="798" t="s">
        <v>2301</v>
      </c>
      <c r="J13" s="521" t="s">
        <v>1057</v>
      </c>
      <c r="K13" s="521" t="s">
        <v>793</v>
      </c>
    </row>
    <row r="14" spans="1:11" x14ac:dyDescent="0.25">
      <c r="A14" s="517">
        <v>14</v>
      </c>
      <c r="B14" s="520" t="str">
        <f t="shared" si="0"/>
        <v>Jan.</v>
      </c>
      <c r="C14" s="517">
        <f t="shared" si="1"/>
        <v>14</v>
      </c>
      <c r="D14" s="520" t="s">
        <v>248</v>
      </c>
      <c r="E14" s="521" t="s">
        <v>1627</v>
      </c>
      <c r="F14" s="521" t="s">
        <v>248</v>
      </c>
      <c r="G14" s="521" t="s">
        <v>1153</v>
      </c>
      <c r="H14" s="520" t="s">
        <v>236</v>
      </c>
      <c r="I14" s="798" t="s">
        <v>248</v>
      </c>
      <c r="J14" s="521" t="s">
        <v>248</v>
      </c>
      <c r="K14" s="521" t="s">
        <v>248</v>
      </c>
    </row>
    <row r="15" spans="1:11" x14ac:dyDescent="0.25">
      <c r="A15" s="517">
        <v>15</v>
      </c>
      <c r="B15" s="520" t="str">
        <f t="shared" si="0"/>
        <v>Feb.</v>
      </c>
      <c r="C15" s="517">
        <f t="shared" si="1"/>
        <v>15</v>
      </c>
      <c r="D15" s="520" t="s">
        <v>237</v>
      </c>
      <c r="E15" s="521" t="s">
        <v>237</v>
      </c>
      <c r="F15" s="521" t="s">
        <v>1739</v>
      </c>
      <c r="G15" s="521" t="s">
        <v>1154</v>
      </c>
      <c r="H15" s="520" t="s">
        <v>237</v>
      </c>
      <c r="I15" s="798" t="s">
        <v>237</v>
      </c>
      <c r="J15" s="521" t="s">
        <v>237</v>
      </c>
      <c r="K15" s="521" t="s">
        <v>237</v>
      </c>
    </row>
    <row r="16" spans="1:11" x14ac:dyDescent="0.25">
      <c r="A16" s="517">
        <v>16</v>
      </c>
      <c r="B16" s="520" t="str">
        <f t="shared" si="0"/>
        <v>Mar.</v>
      </c>
      <c r="C16" s="517">
        <f t="shared" si="1"/>
        <v>16</v>
      </c>
      <c r="D16" s="520" t="s">
        <v>238</v>
      </c>
      <c r="E16" s="521" t="s">
        <v>238</v>
      </c>
      <c r="F16" s="521" t="s">
        <v>238</v>
      </c>
      <c r="G16" s="521" t="s">
        <v>1155</v>
      </c>
      <c r="H16" s="520" t="s">
        <v>238</v>
      </c>
      <c r="I16" s="798" t="s">
        <v>238</v>
      </c>
      <c r="J16" s="521" t="s">
        <v>238</v>
      </c>
      <c r="K16" s="521" t="s">
        <v>238</v>
      </c>
    </row>
    <row r="17" spans="1:11" x14ac:dyDescent="0.25">
      <c r="A17" s="517">
        <v>17</v>
      </c>
      <c r="B17" s="520" t="str">
        <f t="shared" si="0"/>
        <v>Apr.</v>
      </c>
      <c r="C17" s="517">
        <f t="shared" si="1"/>
        <v>17</v>
      </c>
      <c r="D17" s="520" t="s">
        <v>239</v>
      </c>
      <c r="E17" s="521" t="s">
        <v>1628</v>
      </c>
      <c r="F17" s="521" t="s">
        <v>1740</v>
      </c>
      <c r="G17" s="521" t="s">
        <v>1156</v>
      </c>
      <c r="H17" s="520" t="s">
        <v>239</v>
      </c>
      <c r="I17" s="798" t="s">
        <v>239</v>
      </c>
      <c r="J17" s="521" t="s">
        <v>239</v>
      </c>
      <c r="K17" s="521" t="s">
        <v>239</v>
      </c>
    </row>
    <row r="18" spans="1:11" x14ac:dyDescent="0.25">
      <c r="A18" s="517">
        <v>18</v>
      </c>
      <c r="B18" s="520" t="str">
        <f t="shared" si="0"/>
        <v>Maj</v>
      </c>
      <c r="C18" s="517">
        <f t="shared" si="1"/>
        <v>18</v>
      </c>
      <c r="D18" s="520" t="s">
        <v>249</v>
      </c>
      <c r="E18" s="521" t="s">
        <v>1629</v>
      </c>
      <c r="F18" s="521" t="s">
        <v>1741</v>
      </c>
      <c r="G18" s="528" t="s">
        <v>1157</v>
      </c>
      <c r="H18" s="520" t="s">
        <v>240</v>
      </c>
      <c r="I18" s="798" t="s">
        <v>1058</v>
      </c>
      <c r="J18" s="521" t="s">
        <v>1058</v>
      </c>
      <c r="K18" s="521" t="s">
        <v>249</v>
      </c>
    </row>
    <row r="19" spans="1:11" x14ac:dyDescent="0.25">
      <c r="A19" s="517">
        <v>19</v>
      </c>
      <c r="B19" s="520" t="str">
        <f t="shared" si="0"/>
        <v>Jun.</v>
      </c>
      <c r="C19" s="517">
        <f t="shared" si="1"/>
        <v>19</v>
      </c>
      <c r="D19" s="520" t="s">
        <v>250</v>
      </c>
      <c r="E19" s="521" t="s">
        <v>250</v>
      </c>
      <c r="F19" s="521" t="s">
        <v>250</v>
      </c>
      <c r="G19" s="521" t="s">
        <v>1158</v>
      </c>
      <c r="H19" s="520" t="s">
        <v>241</v>
      </c>
      <c r="I19" s="798" t="s">
        <v>250</v>
      </c>
      <c r="J19" s="521" t="s">
        <v>250</v>
      </c>
      <c r="K19" s="521" t="s">
        <v>250</v>
      </c>
    </row>
    <row r="20" spans="1:11" x14ac:dyDescent="0.25">
      <c r="A20" s="517">
        <v>20</v>
      </c>
      <c r="B20" s="520" t="str">
        <f t="shared" si="0"/>
        <v>Jul.</v>
      </c>
      <c r="C20" s="517">
        <f t="shared" si="1"/>
        <v>20</v>
      </c>
      <c r="D20" s="520" t="s">
        <v>251</v>
      </c>
      <c r="E20" s="521" t="s">
        <v>251</v>
      </c>
      <c r="F20" s="521" t="s">
        <v>251</v>
      </c>
      <c r="G20" s="521" t="s">
        <v>1159</v>
      </c>
      <c r="H20" s="520" t="s">
        <v>242</v>
      </c>
      <c r="I20" s="798" t="s">
        <v>251</v>
      </c>
      <c r="J20" s="521" t="s">
        <v>251</v>
      </c>
      <c r="K20" s="521" t="s">
        <v>251</v>
      </c>
    </row>
    <row r="21" spans="1:11" x14ac:dyDescent="0.25">
      <c r="A21" s="517">
        <v>21</v>
      </c>
      <c r="B21" s="520" t="str">
        <f t="shared" si="0"/>
        <v>Avg.</v>
      </c>
      <c r="C21" s="517">
        <f t="shared" si="1"/>
        <v>21</v>
      </c>
      <c r="D21" s="520" t="s">
        <v>252</v>
      </c>
      <c r="E21" s="521" t="s">
        <v>1630</v>
      </c>
      <c r="F21" s="521" t="s">
        <v>1742</v>
      </c>
      <c r="G21" s="521" t="s">
        <v>1160</v>
      </c>
      <c r="H21" s="520" t="s">
        <v>243</v>
      </c>
      <c r="I21" s="798" t="s">
        <v>1059</v>
      </c>
      <c r="J21" s="521" t="s">
        <v>1059</v>
      </c>
      <c r="K21" s="521" t="s">
        <v>252</v>
      </c>
    </row>
    <row r="22" spans="1:11" x14ac:dyDescent="0.25">
      <c r="A22" s="517">
        <v>22</v>
      </c>
      <c r="B22" s="520" t="str">
        <f t="shared" si="0"/>
        <v>Sep.</v>
      </c>
      <c r="C22" s="517">
        <f t="shared" si="1"/>
        <v>22</v>
      </c>
      <c r="D22" s="520" t="s">
        <v>253</v>
      </c>
      <c r="E22" s="521" t="s">
        <v>253</v>
      </c>
      <c r="F22" s="521" t="s">
        <v>253</v>
      </c>
      <c r="G22" s="521" t="s">
        <v>1161</v>
      </c>
      <c r="H22" s="520" t="s">
        <v>244</v>
      </c>
      <c r="I22" s="798" t="s">
        <v>253</v>
      </c>
      <c r="J22" s="521" t="s">
        <v>253</v>
      </c>
      <c r="K22" s="521" t="s">
        <v>253</v>
      </c>
    </row>
    <row r="23" spans="1:11" x14ac:dyDescent="0.25">
      <c r="A23" s="517">
        <v>23</v>
      </c>
      <c r="B23" s="520" t="str">
        <f t="shared" si="0"/>
        <v>Okt.</v>
      </c>
      <c r="C23" s="517">
        <f t="shared" si="1"/>
        <v>23</v>
      </c>
      <c r="D23" s="520" t="s">
        <v>255</v>
      </c>
      <c r="E23" s="521" t="s">
        <v>255</v>
      </c>
      <c r="F23" s="521" t="s">
        <v>255</v>
      </c>
      <c r="G23" s="521" t="s">
        <v>1162</v>
      </c>
      <c r="H23" s="520" t="s">
        <v>245</v>
      </c>
      <c r="I23" s="798" t="s">
        <v>1060</v>
      </c>
      <c r="J23" s="521" t="s">
        <v>1060</v>
      </c>
      <c r="K23" s="521" t="s">
        <v>255</v>
      </c>
    </row>
    <row r="24" spans="1:11" x14ac:dyDescent="0.25">
      <c r="A24" s="517">
        <v>24</v>
      </c>
      <c r="B24" s="520" t="str">
        <f t="shared" si="0"/>
        <v>Nov.</v>
      </c>
      <c r="C24" s="517">
        <f t="shared" si="1"/>
        <v>24</v>
      </c>
      <c r="D24" s="520" t="s">
        <v>246</v>
      </c>
      <c r="E24" s="521" t="s">
        <v>246</v>
      </c>
      <c r="F24" s="521" t="s">
        <v>246</v>
      </c>
      <c r="G24" s="521" t="s">
        <v>1163</v>
      </c>
      <c r="H24" s="520" t="s">
        <v>246</v>
      </c>
      <c r="I24" s="798" t="s">
        <v>246</v>
      </c>
      <c r="J24" s="521" t="s">
        <v>246</v>
      </c>
      <c r="K24" s="521" t="s">
        <v>246</v>
      </c>
    </row>
    <row r="25" spans="1:11" x14ac:dyDescent="0.25">
      <c r="A25" s="517">
        <v>25</v>
      </c>
      <c r="B25" s="520" t="str">
        <f t="shared" si="0"/>
        <v>Dec.</v>
      </c>
      <c r="C25" s="517">
        <f t="shared" si="1"/>
        <v>25</v>
      </c>
      <c r="D25" s="520" t="s">
        <v>254</v>
      </c>
      <c r="E25" s="521" t="s">
        <v>247</v>
      </c>
      <c r="F25" s="521" t="s">
        <v>254</v>
      </c>
      <c r="G25" s="521" t="s">
        <v>1164</v>
      </c>
      <c r="H25" s="520" t="s">
        <v>247</v>
      </c>
      <c r="I25" s="798" t="s">
        <v>254</v>
      </c>
      <c r="J25" s="521" t="s">
        <v>254</v>
      </c>
      <c r="K25" s="521" t="s">
        <v>254</v>
      </c>
    </row>
    <row r="26" spans="1:11" x14ac:dyDescent="0.25">
      <c r="A26" s="517">
        <v>26</v>
      </c>
      <c r="B26" s="520" t="str">
        <f t="shared" si="0"/>
        <v>Podatki o energentu</v>
      </c>
      <c r="C26" s="517">
        <f t="shared" si="1"/>
        <v>26</v>
      </c>
      <c r="D26" s="520" t="s">
        <v>795</v>
      </c>
      <c r="E26" s="521" t="s">
        <v>1631</v>
      </c>
      <c r="F26" s="521" t="s">
        <v>1743</v>
      </c>
      <c r="G26" s="521" t="s">
        <v>1165</v>
      </c>
      <c r="H26" s="520" t="s">
        <v>256</v>
      </c>
      <c r="I26" s="798" t="s">
        <v>2302</v>
      </c>
      <c r="J26" s="521" t="s">
        <v>1061</v>
      </c>
      <c r="K26" s="521" t="s">
        <v>795</v>
      </c>
    </row>
    <row r="27" spans="1:11" x14ac:dyDescent="0.25">
      <c r="A27" s="517">
        <v>27</v>
      </c>
      <c r="B27" s="520" t="str">
        <f t="shared" si="0"/>
        <v>Primarna energija</v>
      </c>
      <c r="C27" s="517">
        <f t="shared" si="1"/>
        <v>27</v>
      </c>
      <c r="D27" s="520" t="s">
        <v>728</v>
      </c>
      <c r="E27" s="521" t="s">
        <v>1632</v>
      </c>
      <c r="F27" s="521" t="s">
        <v>1744</v>
      </c>
      <c r="G27" s="521" t="s">
        <v>1166</v>
      </c>
      <c r="H27" s="520" t="s">
        <v>262</v>
      </c>
      <c r="I27" s="798" t="s">
        <v>1062</v>
      </c>
      <c r="J27" s="521" t="s">
        <v>1062</v>
      </c>
      <c r="K27" s="521" t="s">
        <v>728</v>
      </c>
    </row>
    <row r="28" spans="1:11" x14ac:dyDescent="0.25">
      <c r="A28" s="517">
        <v>28</v>
      </c>
      <c r="B28" s="520" t="str">
        <f t="shared" si="0"/>
        <v>Strošek energije</v>
      </c>
      <c r="C28" s="517">
        <f t="shared" si="1"/>
        <v>28</v>
      </c>
      <c r="D28" s="520" t="s">
        <v>796</v>
      </c>
      <c r="E28" s="521" t="s">
        <v>1633</v>
      </c>
      <c r="F28" s="521" t="s">
        <v>1745</v>
      </c>
      <c r="G28" s="521" t="s">
        <v>1167</v>
      </c>
      <c r="H28" s="520" t="s">
        <v>270</v>
      </c>
      <c r="I28" s="798" t="s">
        <v>1844</v>
      </c>
      <c r="J28" s="521" t="s">
        <v>1063</v>
      </c>
      <c r="K28" s="521" t="s">
        <v>796</v>
      </c>
    </row>
    <row r="29" spans="1:11" x14ac:dyDescent="0.25">
      <c r="A29" s="517">
        <v>29</v>
      </c>
      <c r="B29" s="520" t="str">
        <f t="shared" si="0"/>
        <v>Kalorična moč</v>
      </c>
      <c r="C29" s="517">
        <f t="shared" si="1"/>
        <v>29</v>
      </c>
      <c r="D29" s="520" t="s">
        <v>797</v>
      </c>
      <c r="E29" s="521" t="s">
        <v>1634</v>
      </c>
      <c r="F29" s="521" t="s">
        <v>1746</v>
      </c>
      <c r="G29" s="521" t="s">
        <v>1168</v>
      </c>
      <c r="H29" s="520" t="s">
        <v>263</v>
      </c>
      <c r="I29" s="798" t="s">
        <v>1845</v>
      </c>
      <c r="J29" s="521" t="s">
        <v>1064</v>
      </c>
      <c r="K29" s="521" t="s">
        <v>797</v>
      </c>
    </row>
    <row r="30" spans="1:11" x14ac:dyDescent="0.25">
      <c r="A30" s="517">
        <v>30</v>
      </c>
      <c r="B30" s="520" t="str">
        <f t="shared" si="0"/>
        <v>ME</v>
      </c>
      <c r="C30" s="517">
        <f t="shared" si="1"/>
        <v>30</v>
      </c>
      <c r="D30" s="520" t="s">
        <v>284</v>
      </c>
      <c r="E30" s="521" t="s">
        <v>283</v>
      </c>
      <c r="F30" s="521" t="s">
        <v>284</v>
      </c>
      <c r="G30" s="521" t="s">
        <v>1169</v>
      </c>
      <c r="H30" s="520" t="s">
        <v>283</v>
      </c>
      <c r="I30" s="798" t="s">
        <v>1846</v>
      </c>
      <c r="J30" s="521" t="s">
        <v>284</v>
      </c>
      <c r="K30" s="521" t="s">
        <v>284</v>
      </c>
    </row>
    <row r="31" spans="1:11" x14ac:dyDescent="0.25">
      <c r="A31" s="517">
        <v>31</v>
      </c>
      <c r="B31" s="520" t="str">
        <f t="shared" si="0"/>
        <v>Vir energije</v>
      </c>
      <c r="C31" s="517">
        <f t="shared" si="1"/>
        <v>31</v>
      </c>
      <c r="D31" s="520" t="s">
        <v>282</v>
      </c>
      <c r="E31" s="521" t="s">
        <v>1477</v>
      </c>
      <c r="F31" s="521" t="s">
        <v>1477</v>
      </c>
      <c r="G31" s="521" t="s">
        <v>1170</v>
      </c>
      <c r="H31" s="520" t="s">
        <v>194</v>
      </c>
      <c r="I31" s="798" t="s">
        <v>1847</v>
      </c>
      <c r="J31" s="521" t="s">
        <v>1065</v>
      </c>
      <c r="K31" s="521" t="s">
        <v>282</v>
      </c>
    </row>
    <row r="32" spans="1:11" x14ac:dyDescent="0.25">
      <c r="A32" s="517">
        <v>32</v>
      </c>
      <c r="B32" s="520" t="str">
        <f t="shared" si="0"/>
        <v>Zemeljski plin</v>
      </c>
      <c r="C32" s="517">
        <f t="shared" si="1"/>
        <v>32</v>
      </c>
      <c r="D32" s="520" t="s">
        <v>737</v>
      </c>
      <c r="E32" s="521" t="s">
        <v>1635</v>
      </c>
      <c r="F32" s="521" t="s">
        <v>1747</v>
      </c>
      <c r="G32" s="521" t="s">
        <v>1171</v>
      </c>
      <c r="H32" s="520" t="s">
        <v>257</v>
      </c>
      <c r="I32" s="798" t="s">
        <v>1848</v>
      </c>
      <c r="J32" s="521" t="s">
        <v>1066</v>
      </c>
      <c r="K32" s="521" t="s">
        <v>737</v>
      </c>
    </row>
    <row r="33" spans="1:11" x14ac:dyDescent="0.25">
      <c r="A33" s="517">
        <v>33</v>
      </c>
      <c r="B33" s="520" t="str">
        <f t="shared" si="0"/>
        <v>UNP</v>
      </c>
      <c r="C33" s="517">
        <f t="shared" si="1"/>
        <v>33</v>
      </c>
      <c r="D33" s="520" t="s">
        <v>800</v>
      </c>
      <c r="E33" s="521" t="s">
        <v>1636</v>
      </c>
      <c r="F33" s="521" t="s">
        <v>267</v>
      </c>
      <c r="G33" s="521" t="s">
        <v>800</v>
      </c>
      <c r="H33" s="520" t="s">
        <v>267</v>
      </c>
      <c r="I33" s="798" t="s">
        <v>1849</v>
      </c>
      <c r="J33" s="521" t="s">
        <v>800</v>
      </c>
      <c r="K33" s="521" t="s">
        <v>800</v>
      </c>
    </row>
    <row r="34" spans="1:11" x14ac:dyDescent="0.25">
      <c r="A34" s="517">
        <v>34</v>
      </c>
      <c r="B34" s="520" t="str">
        <f t="shared" si="0"/>
        <v>Dizelsko gorivo</v>
      </c>
      <c r="C34" s="517">
        <f t="shared" si="1"/>
        <v>34</v>
      </c>
      <c r="D34" s="520" t="s">
        <v>801</v>
      </c>
      <c r="E34" s="521" t="s">
        <v>1637</v>
      </c>
      <c r="F34" s="521" t="s">
        <v>1748</v>
      </c>
      <c r="G34" s="521" t="s">
        <v>1172</v>
      </c>
      <c r="H34" s="520" t="s">
        <v>268</v>
      </c>
      <c r="I34" s="798" t="s">
        <v>1850</v>
      </c>
      <c r="J34" s="521" t="s">
        <v>1067</v>
      </c>
      <c r="K34" s="521" t="s">
        <v>801</v>
      </c>
    </row>
    <row r="35" spans="1:11" x14ac:dyDescent="0.25">
      <c r="A35" s="517">
        <v>35</v>
      </c>
      <c r="B35" s="520" t="str">
        <f t="shared" ref="B35:B66" si="2">IF(VLOOKUP(A35,$C:$K,$B$1+1,FALSE)="","",VLOOKUP(A35,$C:$K,$B$1+1,FALSE))</f>
        <v>Kurilno olje</v>
      </c>
      <c r="C35" s="517">
        <f t="shared" si="1"/>
        <v>35</v>
      </c>
      <c r="D35" s="520" t="s">
        <v>802</v>
      </c>
      <c r="E35" s="521" t="s">
        <v>1638</v>
      </c>
      <c r="F35" s="521" t="s">
        <v>1749</v>
      </c>
      <c r="G35" s="521" t="s">
        <v>1173</v>
      </c>
      <c r="H35" s="520" t="s">
        <v>258</v>
      </c>
      <c r="I35" s="798" t="s">
        <v>1851</v>
      </c>
      <c r="J35" s="521" t="s">
        <v>1068</v>
      </c>
      <c r="K35" s="521" t="s">
        <v>802</v>
      </c>
    </row>
    <row r="36" spans="1:11" x14ac:dyDescent="0.25">
      <c r="A36" s="517">
        <v>36</v>
      </c>
      <c r="B36" s="520" t="str">
        <f t="shared" si="2"/>
        <v>Peleti</v>
      </c>
      <c r="C36" s="517">
        <f t="shared" si="1"/>
        <v>36</v>
      </c>
      <c r="D36" s="520" t="s">
        <v>259</v>
      </c>
      <c r="E36" s="521" t="s">
        <v>259</v>
      </c>
      <c r="F36" s="521" t="s">
        <v>259</v>
      </c>
      <c r="G36" s="521" t="s">
        <v>1174</v>
      </c>
      <c r="H36" s="520" t="s">
        <v>259</v>
      </c>
      <c r="I36" s="798" t="s">
        <v>1852</v>
      </c>
      <c r="J36" s="521" t="s">
        <v>1069</v>
      </c>
      <c r="K36" s="521" t="s">
        <v>259</v>
      </c>
    </row>
    <row r="37" spans="1:11" x14ac:dyDescent="0.25">
      <c r="A37" s="517">
        <v>37</v>
      </c>
      <c r="B37" s="520" t="str">
        <f t="shared" si="2"/>
        <v>Polena</v>
      </c>
      <c r="C37" s="517">
        <f t="shared" si="1"/>
        <v>37</v>
      </c>
      <c r="D37" s="520" t="s">
        <v>798</v>
      </c>
      <c r="E37" s="521" t="s">
        <v>1639</v>
      </c>
      <c r="F37" s="521" t="s">
        <v>1750</v>
      </c>
      <c r="G37" s="521" t="s">
        <v>1175</v>
      </c>
      <c r="H37" s="520" t="s">
        <v>260</v>
      </c>
      <c r="I37" s="798" t="s">
        <v>1853</v>
      </c>
      <c r="J37" s="521" t="s">
        <v>1070</v>
      </c>
      <c r="K37" s="521" t="s">
        <v>798</v>
      </c>
    </row>
    <row r="38" spans="1:11" x14ac:dyDescent="0.25">
      <c r="A38" s="517">
        <v>38</v>
      </c>
      <c r="B38" s="520" t="str">
        <f t="shared" si="2"/>
        <v>Lesni sekanci</v>
      </c>
      <c r="C38" s="517">
        <f t="shared" si="1"/>
        <v>38</v>
      </c>
      <c r="D38" s="520" t="s">
        <v>799</v>
      </c>
      <c r="E38" s="521" t="s">
        <v>1640</v>
      </c>
      <c r="F38" s="521" t="s">
        <v>1751</v>
      </c>
      <c r="G38" s="521" t="s">
        <v>1176</v>
      </c>
      <c r="H38" s="520" t="s">
        <v>488</v>
      </c>
      <c r="I38" s="798" t="s">
        <v>1854</v>
      </c>
      <c r="J38" s="521" t="s">
        <v>1071</v>
      </c>
      <c r="K38" s="521" t="s">
        <v>799</v>
      </c>
    </row>
    <row r="39" spans="1:11" x14ac:dyDescent="0.25">
      <c r="A39" s="517">
        <v>39</v>
      </c>
      <c r="B39" s="520" t="str">
        <f t="shared" si="2"/>
        <v>Električna energija</v>
      </c>
      <c r="C39" s="517">
        <f t="shared" si="1"/>
        <v>39</v>
      </c>
      <c r="D39" s="520" t="s">
        <v>725</v>
      </c>
      <c r="E39" s="521" t="s">
        <v>1641</v>
      </c>
      <c r="F39" s="521" t="s">
        <v>1752</v>
      </c>
      <c r="G39" s="521" t="s">
        <v>1177</v>
      </c>
      <c r="H39" s="520" t="s">
        <v>261</v>
      </c>
      <c r="I39" s="798" t="s">
        <v>1072</v>
      </c>
      <c r="J39" s="521" t="s">
        <v>1072</v>
      </c>
      <c r="K39" s="521" t="s">
        <v>725</v>
      </c>
    </row>
    <row r="40" spans="1:11" ht="24" x14ac:dyDescent="0.25">
      <c r="A40" s="517">
        <v>40</v>
      </c>
      <c r="B40" s="520" t="str">
        <f t="shared" si="2"/>
        <v>Električna energija (toplotna črpalka)</v>
      </c>
      <c r="C40" s="517">
        <f t="shared" si="1"/>
        <v>40</v>
      </c>
      <c r="D40" s="520" t="s">
        <v>726</v>
      </c>
      <c r="E40" s="521" t="s">
        <v>1642</v>
      </c>
      <c r="F40" s="521" t="s">
        <v>1753</v>
      </c>
      <c r="G40" s="521" t="s">
        <v>1178</v>
      </c>
      <c r="H40" s="520" t="s">
        <v>484</v>
      </c>
      <c r="I40" s="798" t="s">
        <v>1855</v>
      </c>
      <c r="J40" s="521" t="s">
        <v>1073</v>
      </c>
      <c r="K40" s="521" t="s">
        <v>726</v>
      </c>
    </row>
    <row r="41" spans="1:11" ht="24" x14ac:dyDescent="0.25">
      <c r="A41" s="517">
        <v>41</v>
      </c>
      <c r="B41" s="520" t="str">
        <f t="shared" si="2"/>
        <v>Obsevanje na horizontalno ravnino</v>
      </c>
      <c r="C41" s="517">
        <f t="shared" si="1"/>
        <v>41</v>
      </c>
      <c r="D41" s="520" t="s">
        <v>727</v>
      </c>
      <c r="E41" s="521" t="s">
        <v>1643</v>
      </c>
      <c r="F41" s="521" t="s">
        <v>1754</v>
      </c>
      <c r="G41" s="521" t="s">
        <v>1179</v>
      </c>
      <c r="H41" s="520" t="s">
        <v>274</v>
      </c>
      <c r="I41" s="798" t="s">
        <v>2303</v>
      </c>
      <c r="J41" s="521" t="s">
        <v>1074</v>
      </c>
      <c r="K41" s="521" t="s">
        <v>727</v>
      </c>
    </row>
    <row r="42" spans="1:11" x14ac:dyDescent="0.25">
      <c r="A42" s="517">
        <v>42</v>
      </c>
      <c r="B42" s="520" t="str">
        <f t="shared" si="2"/>
        <v>S</v>
      </c>
      <c r="C42" s="517">
        <f t="shared" si="1"/>
        <v>42</v>
      </c>
      <c r="D42" s="520" t="s">
        <v>275</v>
      </c>
      <c r="E42" s="521" t="s">
        <v>275</v>
      </c>
      <c r="F42" s="521" t="s">
        <v>275</v>
      </c>
      <c r="G42" s="521" t="s">
        <v>1180</v>
      </c>
      <c r="H42" s="520" t="s">
        <v>275</v>
      </c>
      <c r="I42" s="798" t="s">
        <v>277</v>
      </c>
      <c r="J42" s="521" t="s">
        <v>277</v>
      </c>
      <c r="K42" s="521" t="s">
        <v>275</v>
      </c>
    </row>
    <row r="43" spans="1:11" x14ac:dyDescent="0.25">
      <c r="A43" s="517">
        <v>43</v>
      </c>
      <c r="B43" s="520" t="str">
        <f t="shared" si="2"/>
        <v>V</v>
      </c>
      <c r="C43" s="517">
        <f t="shared" si="1"/>
        <v>43</v>
      </c>
      <c r="D43" s="520" t="s">
        <v>276</v>
      </c>
      <c r="E43" s="521" t="s">
        <v>276</v>
      </c>
      <c r="F43" s="521" t="s">
        <v>276</v>
      </c>
      <c r="G43" s="521" t="s">
        <v>1181</v>
      </c>
      <c r="H43" s="520" t="s">
        <v>276</v>
      </c>
      <c r="I43" s="798" t="s">
        <v>1856</v>
      </c>
      <c r="J43" s="521" t="s">
        <v>1075</v>
      </c>
      <c r="K43" s="521" t="s">
        <v>276</v>
      </c>
    </row>
    <row r="44" spans="1:11" x14ac:dyDescent="0.25">
      <c r="A44" s="517">
        <v>44</v>
      </c>
      <c r="B44" s="520" t="str">
        <f t="shared" si="2"/>
        <v>J</v>
      </c>
      <c r="C44" s="517">
        <f t="shared" si="1"/>
        <v>44</v>
      </c>
      <c r="D44" s="520" t="s">
        <v>277</v>
      </c>
      <c r="E44" s="521" t="s">
        <v>277</v>
      </c>
      <c r="F44" s="521" t="s">
        <v>277</v>
      </c>
      <c r="G44" s="521" t="s">
        <v>1182</v>
      </c>
      <c r="H44" s="520" t="s">
        <v>277</v>
      </c>
      <c r="I44" s="798" t="s">
        <v>476</v>
      </c>
      <c r="J44" s="521" t="s">
        <v>476</v>
      </c>
      <c r="K44" s="521" t="s">
        <v>277</v>
      </c>
    </row>
    <row r="45" spans="1:11" x14ac:dyDescent="0.25">
      <c r="A45" s="517">
        <v>45</v>
      </c>
      <c r="B45" s="520" t="str">
        <f t="shared" si="2"/>
        <v>Z</v>
      </c>
      <c r="C45" s="517">
        <f t="shared" si="1"/>
        <v>45</v>
      </c>
      <c r="D45" s="520" t="s">
        <v>280</v>
      </c>
      <c r="E45" s="521" t="s">
        <v>278</v>
      </c>
      <c r="F45" s="521" t="s">
        <v>278</v>
      </c>
      <c r="G45" s="521" t="s">
        <v>1183</v>
      </c>
      <c r="H45" s="520" t="s">
        <v>278</v>
      </c>
      <c r="I45" s="798" t="s">
        <v>1076</v>
      </c>
      <c r="J45" s="521" t="s">
        <v>1076</v>
      </c>
      <c r="K45" s="521" t="s">
        <v>280</v>
      </c>
    </row>
    <row r="46" spans="1:11" ht="24" x14ac:dyDescent="0.25">
      <c r="A46" s="517">
        <v>46</v>
      </c>
      <c r="B46" s="520" t="str">
        <f t="shared" si="2"/>
        <v>Razmerje obsevanja glede na horizontalno ravnino</v>
      </c>
      <c r="C46" s="517">
        <f t="shared" si="1"/>
        <v>46</v>
      </c>
      <c r="D46" s="520" t="s">
        <v>803</v>
      </c>
      <c r="E46" s="521" t="s">
        <v>1644</v>
      </c>
      <c r="F46" s="521" t="s">
        <v>1755</v>
      </c>
      <c r="G46" s="521" t="s">
        <v>1184</v>
      </c>
      <c r="H46" s="520" t="s">
        <v>279</v>
      </c>
      <c r="I46" s="798" t="s">
        <v>2304</v>
      </c>
      <c r="J46" s="521" t="s">
        <v>1077</v>
      </c>
      <c r="K46" s="521" t="s">
        <v>803</v>
      </c>
    </row>
    <row r="47" spans="1:11" x14ac:dyDescent="0.25">
      <c r="A47" s="517">
        <v>47</v>
      </c>
      <c r="B47" s="520" t="str">
        <f t="shared" si="2"/>
        <v>Povprečna notranja višina</v>
      </c>
      <c r="C47" s="517">
        <f t="shared" si="1"/>
        <v>47</v>
      </c>
      <c r="D47" s="520" t="s">
        <v>804</v>
      </c>
      <c r="E47" s="521" t="s">
        <v>1645</v>
      </c>
      <c r="F47" s="521" t="s">
        <v>1756</v>
      </c>
      <c r="G47" s="521" t="s">
        <v>1185</v>
      </c>
      <c r="H47" s="520" t="s">
        <v>303</v>
      </c>
      <c r="I47" s="798" t="s">
        <v>1857</v>
      </c>
      <c r="J47" s="521" t="s">
        <v>1078</v>
      </c>
      <c r="K47" s="521" t="s">
        <v>804</v>
      </c>
    </row>
    <row r="48" spans="1:11" ht="24" x14ac:dyDescent="0.25">
      <c r="A48" s="517">
        <v>48</v>
      </c>
      <c r="B48" s="520" t="str">
        <f t="shared" si="2"/>
        <v>Povprečna bruto višina mednadstropja</v>
      </c>
      <c r="C48" s="517">
        <f t="shared" si="1"/>
        <v>48</v>
      </c>
      <c r="D48" s="520" t="s">
        <v>805</v>
      </c>
      <c r="E48" s="521" t="s">
        <v>2254</v>
      </c>
      <c r="F48" s="521" t="s">
        <v>1757</v>
      </c>
      <c r="G48" s="521" t="s">
        <v>1186</v>
      </c>
      <c r="H48" s="520" t="s">
        <v>304</v>
      </c>
      <c r="I48" s="798" t="s">
        <v>1858</v>
      </c>
      <c r="J48" s="521" t="s">
        <v>1079</v>
      </c>
      <c r="K48" s="521" t="s">
        <v>805</v>
      </c>
    </row>
    <row r="49" spans="1:11" x14ac:dyDescent="0.25">
      <c r="A49" s="517">
        <v>49</v>
      </c>
      <c r="B49" s="520" t="str">
        <f t="shared" si="2"/>
        <v>Do enega leta</v>
      </c>
      <c r="C49" s="517">
        <f t="shared" si="1"/>
        <v>49</v>
      </c>
      <c r="D49" s="520" t="s">
        <v>806</v>
      </c>
      <c r="E49" s="521" t="s">
        <v>1646</v>
      </c>
      <c r="F49" s="521" t="s">
        <v>1758</v>
      </c>
      <c r="G49" s="521" t="s">
        <v>1187</v>
      </c>
      <c r="H49" s="520" t="s">
        <v>463</v>
      </c>
      <c r="I49" s="798" t="s">
        <v>1859</v>
      </c>
      <c r="J49" s="521" t="s">
        <v>1080</v>
      </c>
      <c r="K49" s="521" t="s">
        <v>806</v>
      </c>
    </row>
    <row r="50" spans="1:11" x14ac:dyDescent="0.25">
      <c r="A50" s="517">
        <v>50</v>
      </c>
      <c r="B50" s="520" t="str">
        <f t="shared" si="2"/>
        <v>Debelina sten</v>
      </c>
      <c r="C50" s="517">
        <f t="shared" si="1"/>
        <v>50</v>
      </c>
      <c r="D50" s="520" t="s">
        <v>729</v>
      </c>
      <c r="E50" s="521" t="s">
        <v>1647</v>
      </c>
      <c r="F50" s="521" t="s">
        <v>1759</v>
      </c>
      <c r="G50" s="521" t="s">
        <v>1188</v>
      </c>
      <c r="H50" s="520" t="s">
        <v>462</v>
      </c>
      <c r="I50" s="798" t="s">
        <v>1860</v>
      </c>
      <c r="J50" s="521" t="s">
        <v>1081</v>
      </c>
      <c r="K50" s="521" t="s">
        <v>729</v>
      </c>
    </row>
    <row r="51" spans="1:11" ht="24" x14ac:dyDescent="0.25">
      <c r="A51" s="517">
        <v>51</v>
      </c>
      <c r="B51" s="520" t="str">
        <f t="shared" si="2"/>
        <v>Bruto površina kletne etaže</v>
      </c>
      <c r="C51" s="517">
        <f t="shared" si="1"/>
        <v>51</v>
      </c>
      <c r="D51" s="520" t="s">
        <v>305</v>
      </c>
      <c r="E51" s="521" t="s">
        <v>1648</v>
      </c>
      <c r="F51" s="521" t="s">
        <v>1760</v>
      </c>
      <c r="G51" s="521" t="s">
        <v>1189</v>
      </c>
      <c r="H51" s="520" t="s">
        <v>307</v>
      </c>
      <c r="I51" s="798" t="s">
        <v>1861</v>
      </c>
      <c r="J51" s="521" t="s">
        <v>1082</v>
      </c>
      <c r="K51" s="521" t="s">
        <v>305</v>
      </c>
    </row>
    <row r="52" spans="1:11" x14ac:dyDescent="0.25">
      <c r="A52" s="517">
        <v>52</v>
      </c>
      <c r="B52" s="520" t="str">
        <f t="shared" si="2"/>
        <v>Bruto površina strehe</v>
      </c>
      <c r="C52" s="517">
        <f t="shared" si="1"/>
        <v>52</v>
      </c>
      <c r="D52" s="520" t="s">
        <v>309</v>
      </c>
      <c r="E52" s="521" t="s">
        <v>1649</v>
      </c>
      <c r="F52" s="521" t="s">
        <v>1761</v>
      </c>
      <c r="G52" s="521" t="s">
        <v>1190</v>
      </c>
      <c r="H52" s="520" t="s">
        <v>308</v>
      </c>
      <c r="I52" s="798" t="s">
        <v>1862</v>
      </c>
      <c r="J52" s="521" t="s">
        <v>1083</v>
      </c>
      <c r="K52" s="521" t="s">
        <v>309</v>
      </c>
    </row>
    <row r="53" spans="1:11" x14ac:dyDescent="0.25">
      <c r="A53" s="517">
        <v>53</v>
      </c>
      <c r="B53" s="520" t="str">
        <f t="shared" si="2"/>
        <v>Bruto višina stavbe</v>
      </c>
      <c r="C53" s="517">
        <f t="shared" si="1"/>
        <v>53</v>
      </c>
      <c r="D53" s="520" t="s">
        <v>807</v>
      </c>
      <c r="E53" s="521" t="s">
        <v>1650</v>
      </c>
      <c r="F53" s="521" t="s">
        <v>1762</v>
      </c>
      <c r="G53" s="521" t="s">
        <v>1191</v>
      </c>
      <c r="H53" s="520" t="s">
        <v>311</v>
      </c>
      <c r="I53" s="798" t="s">
        <v>1863</v>
      </c>
      <c r="J53" s="521" t="s">
        <v>1084</v>
      </c>
      <c r="K53" s="521" t="s">
        <v>807</v>
      </c>
    </row>
    <row r="54" spans="1:11" x14ac:dyDescent="0.25">
      <c r="A54" s="517">
        <v>54</v>
      </c>
      <c r="B54" s="520" t="str">
        <f t="shared" si="2"/>
        <v>Dimenzije stavbe</v>
      </c>
      <c r="C54" s="517">
        <f t="shared" si="1"/>
        <v>54</v>
      </c>
      <c r="D54" s="520" t="s">
        <v>808</v>
      </c>
      <c r="E54" s="521" t="s">
        <v>1651</v>
      </c>
      <c r="F54" s="521" t="s">
        <v>1763</v>
      </c>
      <c r="G54" s="521" t="s">
        <v>1192</v>
      </c>
      <c r="H54" s="520" t="s">
        <v>313</v>
      </c>
      <c r="I54" s="798" t="s">
        <v>1864</v>
      </c>
      <c r="J54" s="521" t="s">
        <v>1085</v>
      </c>
      <c r="K54" s="521" t="s">
        <v>808</v>
      </c>
    </row>
    <row r="55" spans="1:11" ht="24" x14ac:dyDescent="0.25">
      <c r="A55" s="517">
        <v>55</v>
      </c>
      <c r="B55" s="520" t="str">
        <f t="shared" si="2"/>
        <v>Največja dimenzija krajše strani</v>
      </c>
      <c r="C55" s="517">
        <f t="shared" si="1"/>
        <v>55</v>
      </c>
      <c r="D55" s="520" t="s">
        <v>809</v>
      </c>
      <c r="E55" s="521" t="s">
        <v>1652</v>
      </c>
      <c r="F55" s="521" t="s">
        <v>1764</v>
      </c>
      <c r="G55" s="521" t="s">
        <v>1193</v>
      </c>
      <c r="H55" s="520" t="s">
        <v>318</v>
      </c>
      <c r="I55" s="798" t="s">
        <v>1865</v>
      </c>
      <c r="J55" s="521" t="s">
        <v>1086</v>
      </c>
      <c r="K55" s="521" t="s">
        <v>809</v>
      </c>
    </row>
    <row r="56" spans="1:11" x14ac:dyDescent="0.25">
      <c r="A56" s="517">
        <v>56</v>
      </c>
      <c r="B56" s="520" t="str">
        <f t="shared" si="2"/>
        <v>Površina zidov</v>
      </c>
      <c r="C56" s="517">
        <f t="shared" si="1"/>
        <v>56</v>
      </c>
      <c r="D56" s="520" t="s">
        <v>810</v>
      </c>
      <c r="E56" s="521" t="s">
        <v>1653</v>
      </c>
      <c r="F56" s="521" t="s">
        <v>1765</v>
      </c>
      <c r="G56" s="521" t="s">
        <v>1194</v>
      </c>
      <c r="H56" s="520" t="s">
        <v>323</v>
      </c>
      <c r="I56" s="798" t="s">
        <v>1866</v>
      </c>
      <c r="J56" s="521" t="s">
        <v>1087</v>
      </c>
      <c r="K56" s="521" t="s">
        <v>810</v>
      </c>
    </row>
    <row r="57" spans="1:11" ht="24" x14ac:dyDescent="0.25">
      <c r="A57" s="517">
        <v>57</v>
      </c>
      <c r="B57" s="520" t="str">
        <f t="shared" si="2"/>
        <v>Povprečna površina oken</v>
      </c>
      <c r="C57" s="517">
        <f t="shared" si="1"/>
        <v>57</v>
      </c>
      <c r="D57" s="520" t="s">
        <v>811</v>
      </c>
      <c r="E57" s="521" t="s">
        <v>1654</v>
      </c>
      <c r="F57" s="521" t="s">
        <v>1766</v>
      </c>
      <c r="G57" s="521" t="s">
        <v>1195</v>
      </c>
      <c r="H57" s="520" t="s">
        <v>461</v>
      </c>
      <c r="I57" s="798" t="s">
        <v>1867</v>
      </c>
      <c r="J57" s="521" t="s">
        <v>1088</v>
      </c>
      <c r="K57" s="521" t="s">
        <v>811</v>
      </c>
    </row>
    <row r="58" spans="1:11" x14ac:dyDescent="0.25">
      <c r="A58" s="517">
        <v>58</v>
      </c>
      <c r="B58" s="520" t="str">
        <f t="shared" si="2"/>
        <v>Površina oken</v>
      </c>
      <c r="C58" s="517">
        <f t="shared" si="1"/>
        <v>58</v>
      </c>
      <c r="D58" s="520" t="s">
        <v>812</v>
      </c>
      <c r="E58" s="521" t="s">
        <v>1655</v>
      </c>
      <c r="F58" s="521" t="s">
        <v>1767</v>
      </c>
      <c r="G58" s="521" t="s">
        <v>1196</v>
      </c>
      <c r="H58" s="520" t="s">
        <v>324</v>
      </c>
      <c r="I58" s="798" t="s">
        <v>1868</v>
      </c>
      <c r="J58" s="521" t="s">
        <v>1089</v>
      </c>
      <c r="K58" s="521" t="s">
        <v>812</v>
      </c>
    </row>
    <row r="59" spans="1:11" x14ac:dyDescent="0.25">
      <c r="A59" s="517">
        <v>59</v>
      </c>
      <c r="B59" s="520" t="str">
        <f t="shared" si="2"/>
        <v>Faktor oblike</v>
      </c>
      <c r="C59" s="517">
        <f t="shared" si="1"/>
        <v>59</v>
      </c>
      <c r="D59" s="520" t="s">
        <v>813</v>
      </c>
      <c r="E59" s="521" t="s">
        <v>1656</v>
      </c>
      <c r="F59" s="521" t="s">
        <v>1768</v>
      </c>
      <c r="G59" s="521" t="s">
        <v>1197</v>
      </c>
      <c r="H59" s="520" t="s">
        <v>319</v>
      </c>
      <c r="I59" s="798" t="s">
        <v>1869</v>
      </c>
      <c r="J59" s="521" t="s">
        <v>1090</v>
      </c>
      <c r="K59" s="521" t="s">
        <v>813</v>
      </c>
    </row>
    <row r="60" spans="1:11" ht="24" x14ac:dyDescent="0.25">
      <c r="A60" s="517">
        <v>60</v>
      </c>
      <c r="B60" s="520" t="str">
        <f t="shared" si="2"/>
        <v>Minimalno razmerje med stranema</v>
      </c>
      <c r="C60" s="517">
        <f t="shared" si="1"/>
        <v>60</v>
      </c>
      <c r="D60" s="520" t="s">
        <v>814</v>
      </c>
      <c r="E60" s="521" t="s">
        <v>1657</v>
      </c>
      <c r="F60" s="521" t="s">
        <v>1769</v>
      </c>
      <c r="G60" s="521" t="s">
        <v>1198</v>
      </c>
      <c r="H60" s="520" t="s">
        <v>335</v>
      </c>
      <c r="I60" s="798" t="s">
        <v>1870</v>
      </c>
      <c r="J60" s="521" t="s">
        <v>1091</v>
      </c>
      <c r="K60" s="521" t="s">
        <v>814</v>
      </c>
    </row>
    <row r="61" spans="1:11" x14ac:dyDescent="0.25">
      <c r="A61" s="517">
        <v>61</v>
      </c>
      <c r="B61" s="520" t="str">
        <f t="shared" si="2"/>
        <v>Podstrešje</v>
      </c>
      <c r="C61" s="517">
        <f t="shared" si="1"/>
        <v>61</v>
      </c>
      <c r="D61" s="520" t="s">
        <v>815</v>
      </c>
      <c r="E61" s="521" t="s">
        <v>1658</v>
      </c>
      <c r="F61" s="521" t="s">
        <v>1770</v>
      </c>
      <c r="G61" s="521" t="s">
        <v>1199</v>
      </c>
      <c r="H61" s="520" t="s">
        <v>349</v>
      </c>
      <c r="I61" s="798" t="s">
        <v>1871</v>
      </c>
      <c r="J61" s="521" t="s">
        <v>919</v>
      </c>
      <c r="K61" s="521" t="s">
        <v>815</v>
      </c>
    </row>
    <row r="62" spans="1:11" ht="24" x14ac:dyDescent="0.25">
      <c r="A62" s="517">
        <v>62</v>
      </c>
      <c r="B62" s="520" t="str">
        <f t="shared" si="2"/>
        <v>Geometrijski model stavbe</v>
      </c>
      <c r="C62" s="517">
        <f t="shared" si="1"/>
        <v>62</v>
      </c>
      <c r="D62" s="520" t="s">
        <v>816</v>
      </c>
      <c r="E62" s="521" t="s">
        <v>1659</v>
      </c>
      <c r="F62" s="521" t="s">
        <v>1771</v>
      </c>
      <c r="G62" s="521" t="s">
        <v>1200</v>
      </c>
      <c r="H62" s="520" t="s">
        <v>346</v>
      </c>
      <c r="I62" s="798" t="s">
        <v>1872</v>
      </c>
      <c r="J62" s="521" t="s">
        <v>816</v>
      </c>
      <c r="K62" s="521" t="s">
        <v>816</v>
      </c>
    </row>
    <row r="63" spans="1:11" ht="24" x14ac:dyDescent="0.25">
      <c r="A63" s="517">
        <v>63</v>
      </c>
      <c r="B63" s="520" t="str">
        <f t="shared" si="2"/>
        <v>Definicija površin za vgradnjo</v>
      </c>
      <c r="C63" s="517">
        <f t="shared" si="1"/>
        <v>63</v>
      </c>
      <c r="D63" s="520" t="s">
        <v>817</v>
      </c>
      <c r="E63" s="521" t="s">
        <v>1660</v>
      </c>
      <c r="F63" s="521" t="s">
        <v>1772</v>
      </c>
      <c r="G63" s="521" t="s">
        <v>1201</v>
      </c>
      <c r="H63" s="520" t="s">
        <v>347</v>
      </c>
      <c r="I63" s="798" t="s">
        <v>2305</v>
      </c>
      <c r="J63" s="521" t="s">
        <v>1092</v>
      </c>
      <c r="K63" s="521" t="s">
        <v>817</v>
      </c>
    </row>
    <row r="64" spans="1:11" x14ac:dyDescent="0.25">
      <c r="A64" s="517">
        <v>64</v>
      </c>
      <c r="B64" s="520" t="str">
        <f t="shared" si="2"/>
        <v>Toleranca</v>
      </c>
      <c r="C64" s="517">
        <f t="shared" si="1"/>
        <v>64</v>
      </c>
      <c r="D64" s="520" t="s">
        <v>818</v>
      </c>
      <c r="E64" s="521" t="s">
        <v>1661</v>
      </c>
      <c r="F64" s="521" t="s">
        <v>1773</v>
      </c>
      <c r="G64" s="521" t="s">
        <v>1202</v>
      </c>
      <c r="H64" s="520" t="s">
        <v>348</v>
      </c>
      <c r="I64" s="798" t="s">
        <v>1873</v>
      </c>
      <c r="J64" s="521" t="s">
        <v>1093</v>
      </c>
      <c r="K64" s="521" t="s">
        <v>818</v>
      </c>
    </row>
    <row r="65" spans="1:11" ht="24" x14ac:dyDescent="0.25">
      <c r="A65" s="517">
        <v>65</v>
      </c>
      <c r="B65" s="520" t="str">
        <f t="shared" si="2"/>
        <v>Popolni (1) ali delni (2) poseg</v>
      </c>
      <c r="C65" s="517">
        <f t="shared" si="1"/>
        <v>65</v>
      </c>
      <c r="D65" s="520" t="s">
        <v>819</v>
      </c>
      <c r="E65" s="521" t="s">
        <v>1662</v>
      </c>
      <c r="F65" s="521" t="s">
        <v>1774</v>
      </c>
      <c r="G65" s="521" t="s">
        <v>1203</v>
      </c>
      <c r="H65" s="520" t="s">
        <v>369</v>
      </c>
      <c r="I65" s="798" t="s">
        <v>1874</v>
      </c>
      <c r="J65" s="521" t="s">
        <v>1094</v>
      </c>
      <c r="K65" s="521" t="s">
        <v>819</v>
      </c>
    </row>
    <row r="66" spans="1:11" x14ac:dyDescent="0.25">
      <c r="A66" s="517">
        <v>66</v>
      </c>
      <c r="B66" s="520" t="str">
        <f t="shared" si="2"/>
        <v>Pred posegom</v>
      </c>
      <c r="C66" s="517">
        <f t="shared" si="1"/>
        <v>66</v>
      </c>
      <c r="D66" s="520" t="s">
        <v>820</v>
      </c>
      <c r="E66" s="521" t="s">
        <v>1663</v>
      </c>
      <c r="F66" s="521" t="s">
        <v>1775</v>
      </c>
      <c r="G66" s="521" t="s">
        <v>1204</v>
      </c>
      <c r="H66" s="520" t="s">
        <v>374</v>
      </c>
      <c r="I66" s="798" t="s">
        <v>1875</v>
      </c>
      <c r="J66" s="521" t="s">
        <v>1095</v>
      </c>
      <c r="K66" s="521" t="s">
        <v>820</v>
      </c>
    </row>
    <row r="67" spans="1:11" x14ac:dyDescent="0.25">
      <c r="A67" s="517">
        <v>67</v>
      </c>
      <c r="B67" s="520" t="str">
        <f t="shared" ref="B67:B98" si="3">IF(VLOOKUP(A67,$C:$K,$B$1+1,FALSE)="","",VLOOKUP(A67,$C:$K,$B$1+1,FALSE))</f>
        <v>Po posegu</v>
      </c>
      <c r="C67" s="517">
        <f t="shared" si="1"/>
        <v>67</v>
      </c>
      <c r="D67" s="520" t="s">
        <v>821</v>
      </c>
      <c r="E67" s="521" t="s">
        <v>1664</v>
      </c>
      <c r="F67" s="521" t="s">
        <v>1776</v>
      </c>
      <c r="G67" s="521" t="s">
        <v>1205</v>
      </c>
      <c r="H67" s="520" t="s">
        <v>375</v>
      </c>
      <c r="I67" s="798" t="s">
        <v>1876</v>
      </c>
      <c r="J67" s="521" t="s">
        <v>1096</v>
      </c>
      <c r="K67" s="521" t="s">
        <v>821</v>
      </c>
    </row>
    <row r="68" spans="1:11" x14ac:dyDescent="0.25">
      <c r="A68" s="517">
        <v>68</v>
      </c>
      <c r="B68" s="520" t="str">
        <f t="shared" si="3"/>
        <v>Toplotna prehodnost U</v>
      </c>
      <c r="C68" s="517">
        <f t="shared" ref="C68:C102" si="4">A68</f>
        <v>68</v>
      </c>
      <c r="D68" s="520" t="s">
        <v>394</v>
      </c>
      <c r="E68" s="521" t="s">
        <v>1665</v>
      </c>
      <c r="F68" s="521" t="s">
        <v>1777</v>
      </c>
      <c r="G68" s="521" t="s">
        <v>394</v>
      </c>
      <c r="H68" s="520" t="s">
        <v>395</v>
      </c>
      <c r="I68" s="798" t="s">
        <v>2306</v>
      </c>
      <c r="J68" s="521" t="s">
        <v>1097</v>
      </c>
      <c r="K68" s="521" t="s">
        <v>394</v>
      </c>
    </row>
    <row r="69" spans="1:11" x14ac:dyDescent="0.25">
      <c r="A69" s="517">
        <v>69</v>
      </c>
      <c r="B69" s="520" t="str">
        <f t="shared" si="3"/>
        <v>stene</v>
      </c>
      <c r="C69" s="517">
        <f t="shared" si="4"/>
        <v>69</v>
      </c>
      <c r="D69" s="520" t="s">
        <v>735</v>
      </c>
      <c r="E69" s="521" t="s">
        <v>1666</v>
      </c>
      <c r="F69" s="521" t="s">
        <v>1778</v>
      </c>
      <c r="G69" s="521" t="s">
        <v>1206</v>
      </c>
      <c r="H69" s="520" t="s">
        <v>390</v>
      </c>
      <c r="I69" s="798" t="s">
        <v>1877</v>
      </c>
      <c r="J69" s="521" t="s">
        <v>1098</v>
      </c>
      <c r="K69" s="521" t="s">
        <v>735</v>
      </c>
    </row>
    <row r="70" spans="1:11" x14ac:dyDescent="0.25">
      <c r="A70" s="517">
        <v>70</v>
      </c>
      <c r="B70" s="520" t="str">
        <f t="shared" si="3"/>
        <v>kletna etaža</v>
      </c>
      <c r="C70" s="517">
        <f t="shared" si="4"/>
        <v>70</v>
      </c>
      <c r="D70" s="520" t="s">
        <v>734</v>
      </c>
      <c r="E70" s="521" t="s">
        <v>1667</v>
      </c>
      <c r="F70" s="521" t="s">
        <v>1779</v>
      </c>
      <c r="G70" s="521" t="s">
        <v>1207</v>
      </c>
      <c r="H70" s="520" t="s">
        <v>391</v>
      </c>
      <c r="I70" s="798" t="s">
        <v>1878</v>
      </c>
      <c r="J70" s="521" t="s">
        <v>1099</v>
      </c>
      <c r="K70" s="521" t="s">
        <v>734</v>
      </c>
    </row>
    <row r="71" spans="1:11" x14ac:dyDescent="0.25">
      <c r="A71" s="517">
        <v>71</v>
      </c>
      <c r="B71" s="520" t="str">
        <f t="shared" si="3"/>
        <v>streha</v>
      </c>
      <c r="C71" s="517">
        <f t="shared" si="4"/>
        <v>71</v>
      </c>
      <c r="D71" s="520" t="s">
        <v>733</v>
      </c>
      <c r="E71" s="521" t="s">
        <v>1668</v>
      </c>
      <c r="F71" s="521" t="s">
        <v>1780</v>
      </c>
      <c r="G71" s="521" t="s">
        <v>1208</v>
      </c>
      <c r="H71" s="520" t="s">
        <v>392</v>
      </c>
      <c r="I71" s="798" t="s">
        <v>1879</v>
      </c>
      <c r="J71" s="521" t="s">
        <v>1100</v>
      </c>
      <c r="K71" s="521" t="s">
        <v>733</v>
      </c>
    </row>
    <row r="72" spans="1:11" x14ac:dyDescent="0.25">
      <c r="A72" s="517">
        <v>72</v>
      </c>
      <c r="B72" s="520" t="str">
        <f t="shared" si="3"/>
        <v>okna</v>
      </c>
      <c r="C72" s="517">
        <f t="shared" si="4"/>
        <v>72</v>
      </c>
      <c r="D72" s="520" t="s">
        <v>732</v>
      </c>
      <c r="E72" s="521" t="s">
        <v>1669</v>
      </c>
      <c r="F72" s="521" t="s">
        <v>1781</v>
      </c>
      <c r="G72" s="521" t="s">
        <v>1209</v>
      </c>
      <c r="H72" s="520" t="s">
        <v>393</v>
      </c>
      <c r="I72" s="798" t="s">
        <v>1880</v>
      </c>
      <c r="J72" s="521" t="s">
        <v>1101</v>
      </c>
      <c r="K72" s="521" t="s">
        <v>732</v>
      </c>
    </row>
    <row r="73" spans="1:11" x14ac:dyDescent="0.25">
      <c r="A73" s="517">
        <v>73</v>
      </c>
      <c r="B73" s="520" t="str">
        <f t="shared" si="3"/>
        <v>sanacija</v>
      </c>
      <c r="C73" s="517">
        <f t="shared" si="4"/>
        <v>73</v>
      </c>
      <c r="D73" s="520" t="s">
        <v>822</v>
      </c>
      <c r="E73" s="521" t="s">
        <v>1670</v>
      </c>
      <c r="F73" s="521" t="s">
        <v>1782</v>
      </c>
      <c r="G73" s="521" t="s">
        <v>1210</v>
      </c>
      <c r="H73" s="520" t="s">
        <v>396</v>
      </c>
      <c r="I73" s="798" t="s">
        <v>1881</v>
      </c>
      <c r="J73" s="521" t="s">
        <v>822</v>
      </c>
      <c r="K73" s="521" t="s">
        <v>822</v>
      </c>
    </row>
    <row r="74" spans="1:11" ht="36" x14ac:dyDescent="0.25">
      <c r="A74" s="517">
        <v>74</v>
      </c>
      <c r="B74" s="520" t="str">
        <f t="shared" si="3"/>
        <v>Vrednosti za obnovo (glede na temperaturni primankljaj)</v>
      </c>
      <c r="C74" s="517">
        <f t="shared" si="4"/>
        <v>74</v>
      </c>
      <c r="D74" s="520" t="s">
        <v>823</v>
      </c>
      <c r="E74" s="521" t="s">
        <v>1671</v>
      </c>
      <c r="F74" s="521" t="s">
        <v>1783</v>
      </c>
      <c r="G74" s="521" t="s">
        <v>1211</v>
      </c>
      <c r="H74" s="520" t="s">
        <v>397</v>
      </c>
      <c r="I74" s="798" t="s">
        <v>2307</v>
      </c>
      <c r="J74" s="521" t="s">
        <v>1102</v>
      </c>
      <c r="K74" s="521" t="s">
        <v>823</v>
      </c>
    </row>
    <row r="75" spans="1:11" ht="24" x14ac:dyDescent="0.25">
      <c r="A75" s="517">
        <v>75</v>
      </c>
      <c r="B75" s="520" t="str">
        <f t="shared" si="3"/>
        <v>Stene z notranjo izolacijo</v>
      </c>
      <c r="C75" s="517">
        <f t="shared" si="4"/>
        <v>75</v>
      </c>
      <c r="D75" s="520" t="s">
        <v>824</v>
      </c>
      <c r="E75" s="521" t="s">
        <v>1672</v>
      </c>
      <c r="F75" s="521" t="s">
        <v>1784</v>
      </c>
      <c r="G75" s="521" t="s">
        <v>1212</v>
      </c>
      <c r="H75" s="520" t="s">
        <v>398</v>
      </c>
      <c r="I75" s="798" t="s">
        <v>1882</v>
      </c>
      <c r="J75" s="521" t="s">
        <v>1103</v>
      </c>
      <c r="K75" s="521" t="s">
        <v>824</v>
      </c>
    </row>
    <row r="76" spans="1:11" ht="24" x14ac:dyDescent="0.25">
      <c r="A76" s="517">
        <v>76</v>
      </c>
      <c r="B76" s="520" t="str">
        <f t="shared" si="3"/>
        <v>Delež toplotnih mostov</v>
      </c>
      <c r="C76" s="517">
        <f t="shared" si="4"/>
        <v>76</v>
      </c>
      <c r="D76" s="520" t="s">
        <v>825</v>
      </c>
      <c r="E76" s="521" t="s">
        <v>1673</v>
      </c>
      <c r="F76" s="521" t="s">
        <v>1785</v>
      </c>
      <c r="G76" s="521" t="s">
        <v>1213</v>
      </c>
      <c r="H76" s="520" t="s">
        <v>404</v>
      </c>
      <c r="I76" s="798" t="s">
        <v>2308</v>
      </c>
      <c r="J76" s="521" t="s">
        <v>1104</v>
      </c>
      <c r="K76" s="521" t="s">
        <v>825</v>
      </c>
    </row>
    <row r="77" spans="1:11" ht="24" x14ac:dyDescent="0.25">
      <c r="A77" s="517">
        <v>77</v>
      </c>
      <c r="B77" s="520" t="str">
        <f t="shared" si="3"/>
        <v>Prezračevanje (izmenjava zraka/h)</v>
      </c>
      <c r="C77" s="517">
        <f t="shared" si="4"/>
        <v>77</v>
      </c>
      <c r="D77" s="520" t="s">
        <v>826</v>
      </c>
      <c r="E77" s="521" t="s">
        <v>1674</v>
      </c>
      <c r="F77" s="521" t="s">
        <v>1786</v>
      </c>
      <c r="G77" s="521" t="s">
        <v>1214</v>
      </c>
      <c r="H77" s="520" t="s">
        <v>409</v>
      </c>
      <c r="I77" s="798" t="s">
        <v>1883</v>
      </c>
      <c r="J77" s="521" t="s">
        <v>1105</v>
      </c>
      <c r="K77" s="521" t="s">
        <v>826</v>
      </c>
    </row>
    <row r="78" spans="1:11" x14ac:dyDescent="0.25">
      <c r="A78" s="517">
        <v>78</v>
      </c>
      <c r="B78" s="520" t="str">
        <f t="shared" si="3"/>
        <v>Notranja temperatura</v>
      </c>
      <c r="C78" s="517">
        <f t="shared" si="4"/>
        <v>78</v>
      </c>
      <c r="D78" s="520" t="s">
        <v>827</v>
      </c>
      <c r="E78" s="521" t="s">
        <v>410</v>
      </c>
      <c r="F78" s="521" t="s">
        <v>827</v>
      </c>
      <c r="G78" s="521" t="s">
        <v>1215</v>
      </c>
      <c r="H78" s="520" t="s">
        <v>410</v>
      </c>
      <c r="I78" s="798" t="s">
        <v>1884</v>
      </c>
      <c r="J78" s="521" t="s">
        <v>1106</v>
      </c>
      <c r="K78" s="521" t="s">
        <v>827</v>
      </c>
    </row>
    <row r="79" spans="1:11" x14ac:dyDescent="0.25">
      <c r="A79" s="517">
        <v>79</v>
      </c>
      <c r="B79" s="520" t="str">
        <f t="shared" si="3"/>
        <v>Notranji toplotni dobitki</v>
      </c>
      <c r="C79" s="517">
        <f t="shared" si="4"/>
        <v>79</v>
      </c>
      <c r="D79" s="520" t="s">
        <v>736</v>
      </c>
      <c r="E79" s="521" t="s">
        <v>1675</v>
      </c>
      <c r="F79" s="521" t="s">
        <v>1787</v>
      </c>
      <c r="G79" s="521" t="s">
        <v>1216</v>
      </c>
      <c r="H79" s="520" t="s">
        <v>489</v>
      </c>
      <c r="I79" s="798" t="s">
        <v>1885</v>
      </c>
      <c r="J79" s="521" t="s">
        <v>1107</v>
      </c>
      <c r="K79" s="521" t="s">
        <v>736</v>
      </c>
    </row>
    <row r="80" spans="1:11" x14ac:dyDescent="0.25">
      <c r="A80" s="517">
        <v>80</v>
      </c>
      <c r="B80" s="520" t="str">
        <f t="shared" si="3"/>
        <v>Podnebje</v>
      </c>
      <c r="C80" s="517">
        <f t="shared" si="4"/>
        <v>80</v>
      </c>
      <c r="D80" s="520" t="s">
        <v>828</v>
      </c>
      <c r="E80" s="521" t="s">
        <v>1676</v>
      </c>
      <c r="F80" s="521" t="s">
        <v>1788</v>
      </c>
      <c r="G80" s="521" t="s">
        <v>1217</v>
      </c>
      <c r="H80" s="520" t="s">
        <v>413</v>
      </c>
      <c r="I80" s="798" t="s">
        <v>1886</v>
      </c>
      <c r="J80" s="521" t="s">
        <v>1108</v>
      </c>
      <c r="K80" s="521" t="s">
        <v>828</v>
      </c>
    </row>
    <row r="81" spans="1:11" ht="24" x14ac:dyDescent="0.25">
      <c r="A81" s="517">
        <v>81</v>
      </c>
      <c r="B81" s="520" t="str">
        <f t="shared" si="3"/>
        <v>Učinkovitost vračanja toplote</v>
      </c>
      <c r="C81" s="517">
        <f t="shared" si="4"/>
        <v>81</v>
      </c>
      <c r="D81" s="520" t="s">
        <v>829</v>
      </c>
      <c r="E81" s="521" t="s">
        <v>1677</v>
      </c>
      <c r="F81" s="521" t="s">
        <v>1789</v>
      </c>
      <c r="G81" s="521" t="s">
        <v>1218</v>
      </c>
      <c r="H81" s="520" t="s">
        <v>415</v>
      </c>
      <c r="I81" s="798" t="s">
        <v>2309</v>
      </c>
      <c r="J81" s="521" t="s">
        <v>1109</v>
      </c>
      <c r="K81" s="521" t="s">
        <v>829</v>
      </c>
    </row>
    <row r="82" spans="1:11" ht="36" x14ac:dyDescent="0.25">
      <c r="A82" s="517">
        <v>82</v>
      </c>
      <c r="B82" s="520" t="str">
        <f t="shared" si="3"/>
        <v>Rast zunanjih temperatur v primerjavi z arhivskimi podatki</v>
      </c>
      <c r="C82" s="517">
        <f t="shared" si="4"/>
        <v>82</v>
      </c>
      <c r="D82" s="520" t="s">
        <v>830</v>
      </c>
      <c r="E82" s="521" t="s">
        <v>1678</v>
      </c>
      <c r="F82" s="521" t="s">
        <v>1790</v>
      </c>
      <c r="G82" s="521" t="s">
        <v>1219</v>
      </c>
      <c r="H82" s="520" t="s">
        <v>535</v>
      </c>
      <c r="I82" s="798" t="s">
        <v>2310</v>
      </c>
      <c r="J82" s="521" t="s">
        <v>1110</v>
      </c>
      <c r="K82" s="521" t="s">
        <v>830</v>
      </c>
    </row>
    <row r="83" spans="1:11" ht="36" x14ac:dyDescent="0.25">
      <c r="A83" s="517">
        <v>83</v>
      </c>
      <c r="B83" s="520" t="str">
        <f t="shared" si="3"/>
        <v>Delež okvirjev na celotni površini oken</v>
      </c>
      <c r="C83" s="517">
        <f t="shared" si="4"/>
        <v>83</v>
      </c>
      <c r="D83" s="520" t="s">
        <v>831</v>
      </c>
      <c r="E83" s="521" t="s">
        <v>1679</v>
      </c>
      <c r="F83" s="521" t="s">
        <v>1791</v>
      </c>
      <c r="G83" s="521" t="s">
        <v>1220</v>
      </c>
      <c r="H83" s="520" t="s">
        <v>438</v>
      </c>
      <c r="I83" s="798" t="s">
        <v>2311</v>
      </c>
      <c r="J83" s="521" t="s">
        <v>1111</v>
      </c>
      <c r="K83" s="521" t="s">
        <v>831</v>
      </c>
    </row>
    <row r="84" spans="1:11" x14ac:dyDescent="0.25">
      <c r="A84" s="517">
        <v>84</v>
      </c>
      <c r="B84" s="520" t="str">
        <f t="shared" si="3"/>
        <v>g - vrednost</v>
      </c>
      <c r="C84" s="517">
        <f t="shared" si="4"/>
        <v>84</v>
      </c>
      <c r="D84" s="520" t="s">
        <v>832</v>
      </c>
      <c r="E84" s="521" t="s">
        <v>1680</v>
      </c>
      <c r="F84" s="521" t="s">
        <v>1792</v>
      </c>
      <c r="G84" s="521" t="s">
        <v>1221</v>
      </c>
      <c r="H84" s="520" t="s">
        <v>459</v>
      </c>
      <c r="I84" s="798" t="s">
        <v>2312</v>
      </c>
      <c r="J84" s="521" t="s">
        <v>1112</v>
      </c>
      <c r="K84" s="521" t="s">
        <v>832</v>
      </c>
    </row>
    <row r="85" spans="1:11" ht="24" x14ac:dyDescent="0.25">
      <c r="A85" s="517">
        <v>85</v>
      </c>
      <c r="B85" s="520" t="str">
        <f t="shared" si="3"/>
        <v>Povprečni faktor fiksnih senčil</v>
      </c>
      <c r="C85" s="517">
        <f t="shared" si="4"/>
        <v>85</v>
      </c>
      <c r="D85" s="520" t="s">
        <v>833</v>
      </c>
      <c r="E85" s="521" t="s">
        <v>1681</v>
      </c>
      <c r="F85" s="521" t="s">
        <v>1793</v>
      </c>
      <c r="G85" s="521" t="s">
        <v>1222</v>
      </c>
      <c r="H85" s="520" t="s">
        <v>460</v>
      </c>
      <c r="I85" s="798" t="s">
        <v>1887</v>
      </c>
      <c r="J85" s="521" t="s">
        <v>1113</v>
      </c>
      <c r="K85" s="521" t="s">
        <v>833</v>
      </c>
    </row>
    <row r="86" spans="1:11" x14ac:dyDescent="0.25">
      <c r="A86" s="517">
        <v>86</v>
      </c>
      <c r="B86" s="520" t="str">
        <f t="shared" si="3"/>
        <v>Toplotna kapaciteta</v>
      </c>
      <c r="C86" s="517">
        <f t="shared" si="4"/>
        <v>86</v>
      </c>
      <c r="D86" s="520" t="s">
        <v>834</v>
      </c>
      <c r="E86" s="521" t="s">
        <v>1682</v>
      </c>
      <c r="F86" s="521" t="s">
        <v>1794</v>
      </c>
      <c r="G86" s="521" t="s">
        <v>1223</v>
      </c>
      <c r="H86" s="520" t="s">
        <v>475</v>
      </c>
      <c r="I86" s="798" t="s">
        <v>1888</v>
      </c>
      <c r="J86" s="521" t="s">
        <v>1114</v>
      </c>
      <c r="K86" s="521" t="s">
        <v>834</v>
      </c>
    </row>
    <row r="87" spans="1:11" x14ac:dyDescent="0.25">
      <c r="A87" s="517">
        <v>87</v>
      </c>
      <c r="B87" s="520" t="str">
        <f t="shared" si="3"/>
        <v>lahka struktura</v>
      </c>
      <c r="C87" s="517">
        <f t="shared" si="4"/>
        <v>87</v>
      </c>
      <c r="D87" s="520" t="s">
        <v>835</v>
      </c>
      <c r="E87" s="521" t="s">
        <v>1683</v>
      </c>
      <c r="F87" s="521" t="s">
        <v>1795</v>
      </c>
      <c r="G87" s="521" t="s">
        <v>1224</v>
      </c>
      <c r="H87" s="520" t="s">
        <v>477</v>
      </c>
      <c r="I87" s="798" t="s">
        <v>1889</v>
      </c>
      <c r="J87" s="521" t="s">
        <v>1115</v>
      </c>
      <c r="K87" s="521" t="s">
        <v>835</v>
      </c>
    </row>
    <row r="88" spans="1:11" x14ac:dyDescent="0.25">
      <c r="A88" s="517">
        <v>88</v>
      </c>
      <c r="B88" s="520" t="str">
        <f t="shared" si="3"/>
        <v>srednja struktura</v>
      </c>
      <c r="C88" s="517">
        <f t="shared" si="4"/>
        <v>88</v>
      </c>
      <c r="D88" s="520" t="s">
        <v>836</v>
      </c>
      <c r="E88" s="521" t="s">
        <v>1684</v>
      </c>
      <c r="F88" s="521" t="s">
        <v>1796</v>
      </c>
      <c r="G88" s="521" t="s">
        <v>1225</v>
      </c>
      <c r="H88" s="520" t="s">
        <v>478</v>
      </c>
      <c r="I88" s="798" t="s">
        <v>1116</v>
      </c>
      <c r="J88" s="521" t="s">
        <v>1116</v>
      </c>
      <c r="K88" s="521" t="s">
        <v>836</v>
      </c>
    </row>
    <row r="89" spans="1:11" x14ac:dyDescent="0.25">
      <c r="A89" s="517">
        <v>89</v>
      </c>
      <c r="B89" s="520" t="str">
        <f t="shared" si="3"/>
        <v>Učinkovitost - sevalne izgube</v>
      </c>
      <c r="C89" s="517">
        <f t="shared" si="4"/>
        <v>89</v>
      </c>
      <c r="D89" s="520" t="s">
        <v>837</v>
      </c>
      <c r="E89" s="521" t="s">
        <v>1685</v>
      </c>
      <c r="F89" s="521" t="s">
        <v>1797</v>
      </c>
      <c r="G89" s="521" t="s">
        <v>1226</v>
      </c>
      <c r="H89" s="520" t="s">
        <v>479</v>
      </c>
      <c r="I89" s="798" t="s">
        <v>2313</v>
      </c>
      <c r="J89" s="521" t="s">
        <v>1117</v>
      </c>
      <c r="K89" s="521" t="s">
        <v>837</v>
      </c>
    </row>
    <row r="90" spans="1:11" x14ac:dyDescent="0.25">
      <c r="A90" s="517">
        <v>90</v>
      </c>
      <c r="B90" s="520" t="str">
        <f t="shared" si="3"/>
        <v>Učinkovitost - regulacija</v>
      </c>
      <c r="C90" s="517">
        <f t="shared" si="4"/>
        <v>90</v>
      </c>
      <c r="D90" s="520" t="s">
        <v>838</v>
      </c>
      <c r="E90" s="521" t="s">
        <v>1686</v>
      </c>
      <c r="F90" s="521" t="s">
        <v>1798</v>
      </c>
      <c r="G90" s="521" t="s">
        <v>1227</v>
      </c>
      <c r="H90" s="520" t="s">
        <v>480</v>
      </c>
      <c r="I90" s="798" t="s">
        <v>2314</v>
      </c>
      <c r="J90" s="521" t="s">
        <v>1118</v>
      </c>
      <c r="K90" s="521" t="s">
        <v>838</v>
      </c>
    </row>
    <row r="91" spans="1:11" x14ac:dyDescent="0.25">
      <c r="A91" s="517">
        <v>91</v>
      </c>
      <c r="B91" s="520" t="str">
        <f t="shared" si="3"/>
        <v>Učinkovitost - distribucija</v>
      </c>
      <c r="C91" s="517">
        <f t="shared" si="4"/>
        <v>91</v>
      </c>
      <c r="D91" s="520" t="s">
        <v>839</v>
      </c>
      <c r="E91" s="521" t="s">
        <v>1687</v>
      </c>
      <c r="F91" s="521" t="s">
        <v>1799</v>
      </c>
      <c r="G91" s="521" t="s">
        <v>1228</v>
      </c>
      <c r="H91" s="520" t="s">
        <v>481</v>
      </c>
      <c r="I91" s="798" t="s">
        <v>2315</v>
      </c>
      <c r="J91" s="521" t="s">
        <v>1119</v>
      </c>
      <c r="K91" s="521" t="s">
        <v>839</v>
      </c>
    </row>
    <row r="92" spans="1:11" x14ac:dyDescent="0.25">
      <c r="A92" s="517">
        <v>92</v>
      </c>
      <c r="B92" s="520" t="str">
        <f t="shared" si="3"/>
        <v>Učinkovitost proizvodnje</v>
      </c>
      <c r="C92" s="517">
        <f t="shared" si="4"/>
        <v>92</v>
      </c>
      <c r="D92" s="520" t="s">
        <v>840</v>
      </c>
      <c r="E92" s="521" t="s">
        <v>1688</v>
      </c>
      <c r="F92" s="521" t="s">
        <v>1800</v>
      </c>
      <c r="G92" s="521" t="s">
        <v>1229</v>
      </c>
      <c r="H92" s="520" t="s">
        <v>482</v>
      </c>
      <c r="I92" s="798" t="s">
        <v>1890</v>
      </c>
      <c r="J92" s="521" t="s">
        <v>1120</v>
      </c>
      <c r="K92" s="521" t="s">
        <v>840</v>
      </c>
    </row>
    <row r="93" spans="1:11" x14ac:dyDescent="0.25">
      <c r="A93" s="517">
        <v>93</v>
      </c>
      <c r="B93" s="520" t="str">
        <f t="shared" si="3"/>
        <v>Zmanjšanje za telovadnice</v>
      </c>
      <c r="C93" s="517">
        <f t="shared" si="4"/>
        <v>93</v>
      </c>
      <c r="D93" s="520" t="s">
        <v>841</v>
      </c>
      <c r="E93" s="521" t="s">
        <v>1689</v>
      </c>
      <c r="F93" s="521" t="s">
        <v>1801</v>
      </c>
      <c r="G93" s="521" t="s">
        <v>1230</v>
      </c>
      <c r="H93" s="520" t="s">
        <v>483</v>
      </c>
      <c r="I93" s="798" t="s">
        <v>1891</v>
      </c>
      <c r="J93" s="521" t="s">
        <v>1121</v>
      </c>
      <c r="K93" s="521" t="s">
        <v>841</v>
      </c>
    </row>
    <row r="94" spans="1:11" ht="36" x14ac:dyDescent="0.25">
      <c r="A94" s="517">
        <v>94</v>
      </c>
      <c r="B94" s="520" t="str">
        <f t="shared" si="3"/>
        <v>Delež TSV pri porabi toplotne energije</v>
      </c>
      <c r="C94" s="517">
        <f t="shared" si="4"/>
        <v>94</v>
      </c>
      <c r="D94" s="520" t="s">
        <v>2079</v>
      </c>
      <c r="E94" s="521" t="s">
        <v>1690</v>
      </c>
      <c r="F94" s="521" t="s">
        <v>1802</v>
      </c>
      <c r="G94" s="521" t="s">
        <v>1231</v>
      </c>
      <c r="H94" s="520" t="s">
        <v>498</v>
      </c>
      <c r="I94" s="798" t="s">
        <v>2316</v>
      </c>
      <c r="J94" s="521" t="s">
        <v>1122</v>
      </c>
      <c r="K94" s="521" t="s">
        <v>842</v>
      </c>
    </row>
    <row r="95" spans="1:11" ht="24" x14ac:dyDescent="0.25">
      <c r="A95" s="517">
        <v>95</v>
      </c>
      <c r="B95" s="520" t="str">
        <f t="shared" si="3"/>
        <v>Delež razsvetljave pri porabi električne energije</v>
      </c>
      <c r="C95" s="517">
        <f t="shared" si="4"/>
        <v>95</v>
      </c>
      <c r="D95" s="520" t="s">
        <v>843</v>
      </c>
      <c r="E95" s="521" t="s">
        <v>1691</v>
      </c>
      <c r="F95" s="521" t="s">
        <v>843</v>
      </c>
      <c r="G95" s="521" t="s">
        <v>1232</v>
      </c>
      <c r="H95" s="520" t="s">
        <v>499</v>
      </c>
      <c r="I95" s="798" t="s">
        <v>2317</v>
      </c>
      <c r="J95" s="521" t="s">
        <v>1123</v>
      </c>
      <c r="K95" s="521" t="s">
        <v>843</v>
      </c>
    </row>
    <row r="96" spans="1:11" ht="36" x14ac:dyDescent="0.25">
      <c r="A96" s="517">
        <v>96</v>
      </c>
      <c r="B96" s="520" t="str">
        <f t="shared" si="3"/>
        <v>Lastna elektrike iz FV - toplotna črpalka</v>
      </c>
      <c r="C96" s="517">
        <f t="shared" si="4"/>
        <v>96</v>
      </c>
      <c r="D96" s="520" t="s">
        <v>1711</v>
      </c>
      <c r="E96" s="521" t="s">
        <v>1692</v>
      </c>
      <c r="F96" s="521" t="s">
        <v>1803</v>
      </c>
      <c r="G96" s="521" t="s">
        <v>1712</v>
      </c>
      <c r="H96" s="520" t="s">
        <v>1713</v>
      </c>
      <c r="I96" s="798" t="s">
        <v>2318</v>
      </c>
      <c r="J96" s="521" t="s">
        <v>1124</v>
      </c>
      <c r="K96" s="521" t="s">
        <v>844</v>
      </c>
    </row>
    <row r="97" spans="1:11" ht="24" x14ac:dyDescent="0.25">
      <c r="A97" s="517">
        <v>97</v>
      </c>
      <c r="B97" s="520" t="str">
        <f t="shared" si="3"/>
        <v>Lastna elektrike iz FV - drugo</v>
      </c>
      <c r="C97" s="517">
        <f t="shared" si="4"/>
        <v>97</v>
      </c>
      <c r="D97" s="520" t="s">
        <v>845</v>
      </c>
      <c r="E97" s="521" t="s">
        <v>1693</v>
      </c>
      <c r="F97" s="521" t="s">
        <v>1804</v>
      </c>
      <c r="G97" s="521" t="s">
        <v>1233</v>
      </c>
      <c r="H97" s="520" t="s">
        <v>504</v>
      </c>
      <c r="I97" s="798" t="s">
        <v>2319</v>
      </c>
      <c r="J97" s="521" t="s">
        <v>845</v>
      </c>
      <c r="K97" s="521" t="s">
        <v>845</v>
      </c>
    </row>
    <row r="98" spans="1:11" ht="24" x14ac:dyDescent="0.25">
      <c r="A98" s="517">
        <v>98</v>
      </c>
      <c r="B98" s="520" t="str">
        <f t="shared" si="3"/>
        <v>Prihranki iz zamenjave svetil</v>
      </c>
      <c r="C98" s="517">
        <f t="shared" si="4"/>
        <v>98</v>
      </c>
      <c r="D98" s="520" t="s">
        <v>846</v>
      </c>
      <c r="E98" s="521" t="s">
        <v>1694</v>
      </c>
      <c r="F98" s="521" t="s">
        <v>1805</v>
      </c>
      <c r="G98" s="521" t="s">
        <v>1234</v>
      </c>
      <c r="H98" s="520" t="s">
        <v>510</v>
      </c>
      <c r="I98" s="798" t="s">
        <v>1892</v>
      </c>
      <c r="J98" s="521" t="s">
        <v>1125</v>
      </c>
      <c r="K98" s="521" t="s">
        <v>846</v>
      </c>
    </row>
    <row r="99" spans="1:11" ht="24" x14ac:dyDescent="0.25">
      <c r="A99" s="517">
        <v>99</v>
      </c>
      <c r="B99" s="520" t="str">
        <f t="shared" ref="B99:B102" si="5">IF(VLOOKUP(A99,$C:$K,$B$1+1,FALSE)="","",VLOOKUP(A99,$C:$K,$B$1+1,FALSE))</f>
        <v>Prihranki iz vgradnje senzorjev</v>
      </c>
      <c r="C99" s="517">
        <f t="shared" si="4"/>
        <v>99</v>
      </c>
      <c r="D99" s="520" t="s">
        <v>847</v>
      </c>
      <c r="E99" s="521" t="s">
        <v>1695</v>
      </c>
      <c r="F99" s="521" t="s">
        <v>1806</v>
      </c>
      <c r="G99" s="521" t="s">
        <v>1235</v>
      </c>
      <c r="H99" s="520" t="s">
        <v>511</v>
      </c>
      <c r="I99" s="798" t="s">
        <v>1893</v>
      </c>
      <c r="J99" s="521" t="s">
        <v>1126</v>
      </c>
      <c r="K99" s="521" t="s">
        <v>847</v>
      </c>
    </row>
    <row r="100" spans="1:11" ht="24" x14ac:dyDescent="0.25">
      <c r="A100" s="517">
        <v>100</v>
      </c>
      <c r="B100" s="520" t="str">
        <f t="shared" si="5"/>
        <v xml:space="preserve">Proizvodnja elektrike FV </v>
      </c>
      <c r="C100" s="517">
        <f t="shared" si="4"/>
        <v>100</v>
      </c>
      <c r="D100" s="520" t="s">
        <v>848</v>
      </c>
      <c r="E100" s="521" t="s">
        <v>1696</v>
      </c>
      <c r="F100" s="521" t="s">
        <v>1807</v>
      </c>
      <c r="G100" s="521" t="s">
        <v>1236</v>
      </c>
      <c r="H100" s="520" t="s">
        <v>518</v>
      </c>
      <c r="I100" s="798" t="s">
        <v>2320</v>
      </c>
      <c r="J100" s="521" t="s">
        <v>1127</v>
      </c>
      <c r="K100" s="521" t="s">
        <v>848</v>
      </c>
    </row>
    <row r="101" spans="1:11" ht="36" x14ac:dyDescent="0.25">
      <c r="A101" s="517">
        <v>101</v>
      </c>
      <c r="B101" s="520" t="str">
        <f t="shared" si="5"/>
        <v>Proizvodnja elektrike iz FV med obdobjem ogrevanja</v>
      </c>
      <c r="C101" s="517">
        <f t="shared" si="4"/>
        <v>101</v>
      </c>
      <c r="D101" s="520" t="s">
        <v>849</v>
      </c>
      <c r="E101" s="521" t="s">
        <v>1697</v>
      </c>
      <c r="F101" s="521" t="s">
        <v>1808</v>
      </c>
      <c r="G101" s="521" t="s">
        <v>1237</v>
      </c>
      <c r="H101" s="520" t="s">
        <v>519</v>
      </c>
      <c r="I101" s="798" t="s">
        <v>2321</v>
      </c>
      <c r="J101" s="521" t="s">
        <v>1128</v>
      </c>
      <c r="K101" s="521" t="s">
        <v>849</v>
      </c>
    </row>
    <row r="102" spans="1:11" ht="24" x14ac:dyDescent="0.25">
      <c r="A102" s="517">
        <v>102</v>
      </c>
      <c r="B102" s="520" t="str">
        <f t="shared" si="5"/>
        <v>Zvišanje povprečne zunanje temperature v 20 letih</v>
      </c>
      <c r="C102" s="517">
        <f t="shared" si="4"/>
        <v>102</v>
      </c>
      <c r="D102" s="520" t="s">
        <v>850</v>
      </c>
      <c r="E102" s="521" t="s">
        <v>1698</v>
      </c>
      <c r="F102" s="521" t="s">
        <v>1809</v>
      </c>
      <c r="G102" s="521" t="s">
        <v>1238</v>
      </c>
      <c r="H102" s="520" t="s">
        <v>716</v>
      </c>
      <c r="I102" s="798" t="s">
        <v>1894</v>
      </c>
      <c r="J102" s="521" t="s">
        <v>1129</v>
      </c>
      <c r="K102" s="521" t="s">
        <v>850</v>
      </c>
    </row>
    <row r="103" spans="1:11" ht="24" x14ac:dyDescent="0.25">
      <c r="A103" s="517">
        <v>103</v>
      </c>
      <c r="B103" s="520" t="str">
        <f t="shared" ref="B103:B115" si="6">IF(VLOOKUP(A103,$C:$K,$B$1+1,FALSE)="","",VLOOKUP(A103,$C:$K,$B$1+1,FALSE))</f>
        <v>Korekcijski faktor porabe</v>
      </c>
      <c r="C103" s="517">
        <f t="shared" ref="C103:C115" si="7">A103</f>
        <v>103</v>
      </c>
      <c r="D103" s="520" t="s">
        <v>2067</v>
      </c>
      <c r="E103" s="521" t="s">
        <v>2070</v>
      </c>
      <c r="F103" s="521" t="s">
        <v>2069</v>
      </c>
      <c r="G103" s="521" t="s">
        <v>2066</v>
      </c>
      <c r="H103" s="520" t="s">
        <v>1827</v>
      </c>
      <c r="I103" s="798" t="s">
        <v>2068</v>
      </c>
      <c r="J103" s="521" t="s">
        <v>2074</v>
      </c>
      <c r="K103" s="520" t="s">
        <v>2067</v>
      </c>
    </row>
    <row r="104" spans="1:11" x14ac:dyDescent="0.25">
      <c r="A104" s="517">
        <v>104</v>
      </c>
      <c r="B104" s="520" t="str">
        <f t="shared" si="6"/>
        <v>Letni obroki</v>
      </c>
      <c r="C104" s="517">
        <f t="shared" si="7"/>
        <v>104</v>
      </c>
      <c r="D104" s="520" t="s">
        <v>596</v>
      </c>
      <c r="E104" s="521" t="s">
        <v>1699</v>
      </c>
      <c r="F104" s="521" t="s">
        <v>1810</v>
      </c>
      <c r="G104" s="521" t="s">
        <v>1239</v>
      </c>
      <c r="H104" s="520" t="s">
        <v>620</v>
      </c>
      <c r="I104" s="798" t="s">
        <v>1895</v>
      </c>
      <c r="J104" s="521" t="s">
        <v>1130</v>
      </c>
      <c r="K104" s="521" t="s">
        <v>596</v>
      </c>
    </row>
    <row r="105" spans="1:11" ht="24" x14ac:dyDescent="0.25">
      <c r="A105" s="517">
        <v>105</v>
      </c>
      <c r="B105" s="520" t="str">
        <f t="shared" si="6"/>
        <v>Št. obrokov posojila</v>
      </c>
      <c r="C105" s="517">
        <f t="shared" si="7"/>
        <v>105</v>
      </c>
      <c r="D105" s="520" t="s">
        <v>598</v>
      </c>
      <c r="E105" s="521" t="s">
        <v>1700</v>
      </c>
      <c r="F105" s="521" t="s">
        <v>1811</v>
      </c>
      <c r="G105" s="521" t="s">
        <v>1240</v>
      </c>
      <c r="H105" s="520" t="s">
        <v>619</v>
      </c>
      <c r="I105" s="798" t="s">
        <v>1896</v>
      </c>
      <c r="J105" s="521" t="s">
        <v>1131</v>
      </c>
      <c r="K105" s="521" t="s">
        <v>598</v>
      </c>
    </row>
    <row r="106" spans="1:11" x14ac:dyDescent="0.25">
      <c r="A106" s="517">
        <v>106</v>
      </c>
      <c r="B106" s="520" t="str">
        <f t="shared" si="6"/>
        <v>Začetek posojila</v>
      </c>
      <c r="C106" s="517">
        <f t="shared" si="7"/>
        <v>106</v>
      </c>
      <c r="D106" s="520" t="s">
        <v>599</v>
      </c>
      <c r="E106" s="521" t="s">
        <v>1701</v>
      </c>
      <c r="F106" s="521" t="s">
        <v>1812</v>
      </c>
      <c r="G106" s="521" t="s">
        <v>1241</v>
      </c>
      <c r="H106" s="520" t="s">
        <v>618</v>
      </c>
      <c r="I106" s="798" t="s">
        <v>1897</v>
      </c>
      <c r="J106" s="521" t="s">
        <v>1132</v>
      </c>
      <c r="K106" s="521" t="s">
        <v>599</v>
      </c>
    </row>
    <row r="107" spans="1:11" x14ac:dyDescent="0.25">
      <c r="A107" s="517">
        <v>107</v>
      </c>
      <c r="B107" s="520" t="str">
        <f t="shared" si="6"/>
        <v>Letni obroki posojila</v>
      </c>
      <c r="C107" s="517">
        <f t="shared" si="7"/>
        <v>107</v>
      </c>
      <c r="D107" s="520" t="s">
        <v>611</v>
      </c>
      <c r="E107" s="521" t="s">
        <v>1702</v>
      </c>
      <c r="F107" s="521" t="s">
        <v>1813</v>
      </c>
      <c r="G107" s="521" t="s">
        <v>1242</v>
      </c>
      <c r="H107" s="520" t="s">
        <v>610</v>
      </c>
      <c r="I107" s="798" t="s">
        <v>1898</v>
      </c>
      <c r="J107" s="521" t="s">
        <v>1133</v>
      </c>
      <c r="K107" s="521" t="s">
        <v>611</v>
      </c>
    </row>
    <row r="108" spans="1:11" x14ac:dyDescent="0.25">
      <c r="A108" s="517">
        <v>108</v>
      </c>
      <c r="B108" s="520" t="str">
        <f t="shared" si="6"/>
        <v>Predvideni obrok</v>
      </c>
      <c r="C108" s="517">
        <f t="shared" si="7"/>
        <v>108</v>
      </c>
      <c r="D108" s="520" t="s">
        <v>613</v>
      </c>
      <c r="E108" s="521" t="s">
        <v>1703</v>
      </c>
      <c r="F108" s="521" t="s">
        <v>1814</v>
      </c>
      <c r="G108" s="521" t="s">
        <v>1243</v>
      </c>
      <c r="H108" s="520" t="s">
        <v>614</v>
      </c>
      <c r="I108" s="798" t="s">
        <v>1899</v>
      </c>
      <c r="J108" s="521" t="s">
        <v>1134</v>
      </c>
      <c r="K108" s="521" t="s">
        <v>613</v>
      </c>
    </row>
    <row r="109" spans="1:11" x14ac:dyDescent="0.25">
      <c r="A109" s="517">
        <v>109</v>
      </c>
      <c r="B109" s="520" t="str">
        <f t="shared" si="6"/>
        <v>Tabela amortizacije</v>
      </c>
      <c r="C109" s="517">
        <f t="shared" si="7"/>
        <v>109</v>
      </c>
      <c r="D109" s="520" t="s">
        <v>595</v>
      </c>
      <c r="E109" s="521" t="s">
        <v>1704</v>
      </c>
      <c r="F109" s="521" t="s">
        <v>1815</v>
      </c>
      <c r="G109" s="521" t="s">
        <v>1244</v>
      </c>
      <c r="H109" s="520" t="s">
        <v>615</v>
      </c>
      <c r="I109" s="798" t="s">
        <v>1135</v>
      </c>
      <c r="J109" s="521" t="s">
        <v>1135</v>
      </c>
      <c r="K109" s="521" t="s">
        <v>595</v>
      </c>
    </row>
    <row r="110" spans="1:11" x14ac:dyDescent="0.25">
      <c r="A110" s="517">
        <v>110</v>
      </c>
      <c r="B110" s="520" t="str">
        <f t="shared" si="6"/>
        <v>Današnji datum</v>
      </c>
      <c r="C110" s="517">
        <f t="shared" si="7"/>
        <v>110</v>
      </c>
      <c r="D110" s="520" t="s">
        <v>617</v>
      </c>
      <c r="E110" s="521" t="s">
        <v>1705</v>
      </c>
      <c r="F110" s="521" t="s">
        <v>1816</v>
      </c>
      <c r="G110" s="521" t="s">
        <v>1245</v>
      </c>
      <c r="H110" s="520" t="s">
        <v>616</v>
      </c>
      <c r="I110" s="798" t="s">
        <v>1900</v>
      </c>
      <c r="J110" s="521" t="s">
        <v>1136</v>
      </c>
      <c r="K110" s="521" t="s">
        <v>617</v>
      </c>
    </row>
    <row r="111" spans="1:11" ht="24" x14ac:dyDescent="0.25">
      <c r="A111" s="517">
        <v>111</v>
      </c>
      <c r="B111" s="520" t="str">
        <f t="shared" si="6"/>
        <v>IZRAČUN ODBITNIH OBRESTI</v>
      </c>
      <c r="C111" s="517">
        <f t="shared" si="7"/>
        <v>111</v>
      </c>
      <c r="D111" s="520" t="s">
        <v>851</v>
      </c>
      <c r="E111" s="521" t="s">
        <v>1706</v>
      </c>
      <c r="F111" s="521" t="s">
        <v>1821</v>
      </c>
      <c r="G111" s="521" t="s">
        <v>1246</v>
      </c>
      <c r="H111" s="520" t="s">
        <v>713</v>
      </c>
      <c r="I111" s="798" t="s">
        <v>1901</v>
      </c>
      <c r="J111" s="521" t="s">
        <v>1137</v>
      </c>
      <c r="K111" s="521" t="s">
        <v>851</v>
      </c>
    </row>
    <row r="112" spans="1:11" ht="24" x14ac:dyDescent="0.25">
      <c r="A112" s="517">
        <v>112</v>
      </c>
      <c r="B112" s="520" t="str">
        <f t="shared" si="6"/>
        <v>Podatki iz finančne ocene</v>
      </c>
      <c r="C112" s="517">
        <f t="shared" si="7"/>
        <v>112</v>
      </c>
      <c r="D112" s="520" t="s">
        <v>852</v>
      </c>
      <c r="E112" s="521" t="s">
        <v>1707</v>
      </c>
      <c r="F112" s="521" t="s">
        <v>1817</v>
      </c>
      <c r="G112" s="521" t="s">
        <v>1247</v>
      </c>
      <c r="H112" s="520" t="s">
        <v>714</v>
      </c>
      <c r="I112" s="798" t="s">
        <v>1902</v>
      </c>
      <c r="J112" s="521" t="s">
        <v>1138</v>
      </c>
      <c r="K112" s="521" t="s">
        <v>852</v>
      </c>
    </row>
    <row r="113" spans="1:11" ht="24" x14ac:dyDescent="0.25">
      <c r="A113" s="517">
        <v>113</v>
      </c>
      <c r="B113" s="520" t="str">
        <f t="shared" si="6"/>
        <v>Nacionalna ali lokalna pravila računanja</v>
      </c>
      <c r="C113" s="517">
        <f t="shared" si="7"/>
        <v>113</v>
      </c>
      <c r="D113" s="520" t="s">
        <v>853</v>
      </c>
      <c r="E113" s="521" t="s">
        <v>1708</v>
      </c>
      <c r="F113" s="521" t="s">
        <v>1818</v>
      </c>
      <c r="G113" s="521" t="s">
        <v>1248</v>
      </c>
      <c r="H113" s="520" t="s">
        <v>721</v>
      </c>
      <c r="I113" s="798" t="s">
        <v>1903</v>
      </c>
      <c r="J113" s="521" t="s">
        <v>1139</v>
      </c>
      <c r="K113" s="521" t="s">
        <v>853</v>
      </c>
    </row>
    <row r="114" spans="1:11" x14ac:dyDescent="0.25">
      <c r="A114" s="517">
        <v>114</v>
      </c>
      <c r="B114" s="520" t="str">
        <f t="shared" si="6"/>
        <v>IZRAČUN DAVKOV</v>
      </c>
      <c r="C114" s="517">
        <f t="shared" si="7"/>
        <v>114</v>
      </c>
      <c r="D114" s="520" t="s">
        <v>854</v>
      </c>
      <c r="E114" s="521" t="s">
        <v>1709</v>
      </c>
      <c r="F114" s="521" t="s">
        <v>1820</v>
      </c>
      <c r="G114" s="521" t="s">
        <v>1249</v>
      </c>
      <c r="H114" s="520" t="s">
        <v>715</v>
      </c>
      <c r="I114" s="798" t="s">
        <v>1904</v>
      </c>
      <c r="J114" s="521" t="s">
        <v>1140</v>
      </c>
      <c r="K114" s="521" t="s">
        <v>854</v>
      </c>
    </row>
    <row r="115" spans="1:11" x14ac:dyDescent="0.25">
      <c r="A115" s="517">
        <v>115</v>
      </c>
      <c r="B115" s="520" t="str">
        <f t="shared" si="6"/>
        <v>Obresti</v>
      </c>
      <c r="C115" s="517">
        <f t="shared" si="7"/>
        <v>115</v>
      </c>
      <c r="D115" s="520" t="s">
        <v>855</v>
      </c>
      <c r="E115" s="521" t="s">
        <v>1710</v>
      </c>
      <c r="F115" s="521" t="s">
        <v>1819</v>
      </c>
      <c r="G115" s="521" t="s">
        <v>1250</v>
      </c>
      <c r="H115" s="520" t="s">
        <v>720</v>
      </c>
      <c r="I115" s="798" t="s">
        <v>1905</v>
      </c>
      <c r="J115" s="521" t="s">
        <v>1141</v>
      </c>
      <c r="K115" s="521" t="s">
        <v>855</v>
      </c>
    </row>
    <row r="116" spans="1:11" x14ac:dyDescent="0.25">
      <c r="A116" s="517"/>
      <c r="C116" s="517"/>
    </row>
    <row r="117" spans="1:11" x14ac:dyDescent="0.25">
      <c r="A117" s="517"/>
      <c r="C117" s="517"/>
    </row>
    <row r="118" spans="1:11" x14ac:dyDescent="0.25">
      <c r="A118" s="517"/>
      <c r="C118" s="517"/>
    </row>
    <row r="119" spans="1:11" x14ac:dyDescent="0.25">
      <c r="A119" s="517"/>
      <c r="C119" s="517"/>
    </row>
    <row r="120" spans="1:11" x14ac:dyDescent="0.25">
      <c r="A120" s="517"/>
      <c r="C120" s="517"/>
    </row>
    <row r="121" spans="1:11" x14ac:dyDescent="0.25">
      <c r="A121" s="517"/>
      <c r="C121" s="517"/>
    </row>
    <row r="122" spans="1:11" x14ac:dyDescent="0.25">
      <c r="A122" s="517"/>
      <c r="C122" s="517"/>
    </row>
    <row r="123" spans="1:11" x14ac:dyDescent="0.25">
      <c r="A123" s="517"/>
      <c r="C123" s="517"/>
    </row>
    <row r="124" spans="1:11" x14ac:dyDescent="0.25">
      <c r="A124" s="517"/>
      <c r="C124" s="517"/>
    </row>
    <row r="125" spans="1:11" x14ac:dyDescent="0.25">
      <c r="A125" s="517"/>
      <c r="C125" s="517"/>
    </row>
    <row r="126" spans="1:11" x14ac:dyDescent="0.25">
      <c r="A126" s="517"/>
      <c r="C126" s="517"/>
    </row>
    <row r="127" spans="1:11" x14ac:dyDescent="0.25">
      <c r="A127" s="517"/>
      <c r="C127" s="517"/>
    </row>
    <row r="128" spans="1:11" x14ac:dyDescent="0.25">
      <c r="A128" s="517"/>
      <c r="C128" s="517"/>
    </row>
    <row r="129" spans="1:3" x14ac:dyDescent="0.25">
      <c r="A129" s="517"/>
      <c r="C129" s="517"/>
    </row>
    <row r="130" spans="1:3" x14ac:dyDescent="0.25">
      <c r="A130" s="517"/>
      <c r="C130" s="517"/>
    </row>
    <row r="131" spans="1:3" x14ac:dyDescent="0.25">
      <c r="A131" s="517"/>
      <c r="C131" s="517"/>
    </row>
    <row r="132" spans="1:3" x14ac:dyDescent="0.25">
      <c r="A132" s="517"/>
      <c r="C132" s="517"/>
    </row>
    <row r="133" spans="1:3" x14ac:dyDescent="0.25">
      <c r="A133" s="517"/>
      <c r="C133" s="517"/>
    </row>
    <row r="134" spans="1:3" x14ac:dyDescent="0.25">
      <c r="A134" s="517"/>
      <c r="C134" s="517"/>
    </row>
    <row r="135" spans="1:3" x14ac:dyDescent="0.25">
      <c r="A135" s="517"/>
      <c r="C135" s="517"/>
    </row>
    <row r="136" spans="1:3" x14ac:dyDescent="0.25">
      <c r="A136" s="517"/>
      <c r="C136" s="517"/>
    </row>
    <row r="137" spans="1:3" x14ac:dyDescent="0.25">
      <c r="A137" s="517"/>
      <c r="C137" s="517"/>
    </row>
    <row r="138" spans="1:3" x14ac:dyDescent="0.25">
      <c r="A138" s="517"/>
      <c r="C138" s="517"/>
    </row>
    <row r="139" spans="1:3" x14ac:dyDescent="0.25">
      <c r="A139" s="517"/>
      <c r="C139" s="517"/>
    </row>
    <row r="140" spans="1:3" x14ac:dyDescent="0.25">
      <c r="A140" s="517"/>
      <c r="C140" s="517"/>
    </row>
  </sheetData>
  <sheetProtection password="D2B9" sheet="1" objects="1" scenarios="1" selectLockedCells="1"/>
  <pageMargins left="0.7" right="0.7" top="0.75" bottom="0.75" header="0.3" footer="0.3"/>
  <ignoredErrors>
    <ignoredError sqref="D2:F2 H2:K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FFFF00"/>
  </sheetPr>
  <dimension ref="A2:AH130"/>
  <sheetViews>
    <sheetView workbookViewId="0">
      <selection activeCell="G5" sqref="G5"/>
    </sheetView>
  </sheetViews>
  <sheetFormatPr defaultRowHeight="12" x14ac:dyDescent="0.25"/>
  <cols>
    <col min="1" max="1" width="3" style="302" customWidth="1"/>
    <col min="2" max="2" width="4.85546875" style="302" customWidth="1"/>
    <col min="3" max="3" width="6.5703125" style="135" customWidth="1"/>
    <col min="4" max="9" width="9.140625" style="135"/>
    <col min="10" max="33" width="9.28515625" style="135" customWidth="1"/>
    <col min="34" max="16384" width="9.140625" style="135"/>
  </cols>
  <sheetData>
    <row r="2" spans="2:26" ht="29.25" customHeight="1" x14ac:dyDescent="0.25">
      <c r="B2" s="757">
        <v>1</v>
      </c>
      <c r="D2" s="725" t="str">
        <f>'F+T Translation'!B26</f>
        <v>Podatki o energentu</v>
      </c>
      <c r="E2" s="726"/>
      <c r="F2" s="726"/>
      <c r="G2" s="726"/>
      <c r="H2" s="726"/>
      <c r="I2" s="726"/>
      <c r="J2" s="726"/>
      <c r="K2" s="726"/>
      <c r="L2" s="727"/>
      <c r="M2" s="729" t="str">
        <f>'F+T Translation'!B92</f>
        <v>Učinkovitost proizvodnje</v>
      </c>
      <c r="N2" s="730"/>
      <c r="O2" s="298"/>
    </row>
    <row r="3" spans="2:26" x14ac:dyDescent="0.25">
      <c r="B3" s="757"/>
      <c r="D3" s="738" t="str">
        <f>'F+T Translation'!B31</f>
        <v>Vir energije</v>
      </c>
      <c r="E3" s="739"/>
      <c r="F3" s="736" t="str">
        <f>'F+T Translation'!B30</f>
        <v>ME</v>
      </c>
      <c r="G3" s="732" t="str">
        <f>'F+T Translation'!B29</f>
        <v>Kalorična moč</v>
      </c>
      <c r="H3" s="733"/>
      <c r="I3" s="731" t="str">
        <f>'F+T Translation'!B28</f>
        <v>Strošek energije</v>
      </c>
      <c r="J3" s="731"/>
      <c r="K3" s="731"/>
      <c r="L3" s="731"/>
      <c r="M3" s="297" t="str">
        <f>Translation!C146</f>
        <v>prej</v>
      </c>
      <c r="N3" s="292" t="str">
        <f>Translation!C147</f>
        <v>potem</v>
      </c>
      <c r="O3" s="299"/>
    </row>
    <row r="4" spans="2:26" ht="13.5" x14ac:dyDescent="0.25">
      <c r="B4" s="757"/>
      <c r="D4" s="740"/>
      <c r="E4" s="741"/>
      <c r="F4" s="737"/>
      <c r="G4" s="734"/>
      <c r="H4" s="735"/>
      <c r="I4" s="731"/>
      <c r="J4" s="731"/>
      <c r="K4" s="731"/>
      <c r="L4" s="731"/>
      <c r="M4" s="309" t="s">
        <v>497</v>
      </c>
      <c r="N4" s="310" t="s">
        <v>497</v>
      </c>
      <c r="O4" s="300"/>
      <c r="P4" s="302"/>
      <c r="Q4" s="302"/>
      <c r="R4" s="302"/>
      <c r="S4" s="302"/>
      <c r="T4" s="302"/>
      <c r="U4" s="302"/>
      <c r="V4" s="302"/>
      <c r="W4" s="302"/>
      <c r="X4" s="302"/>
      <c r="Y4" s="302"/>
      <c r="Z4" s="302"/>
    </row>
    <row r="5" spans="2:26" ht="12" customHeight="1" x14ac:dyDescent="0.25">
      <c r="B5" s="757"/>
      <c r="D5" s="145" t="str">
        <f>'F+T Translation'!B32</f>
        <v>Zemeljski plin</v>
      </c>
      <c r="E5" s="144"/>
      <c r="F5" s="162" t="str">
        <f>Translation!C22</f>
        <v>Sm³</v>
      </c>
      <c r="G5" s="624">
        <v>9.6999999999999993</v>
      </c>
      <c r="H5" s="623" t="str">
        <f>Translation!C15&amp;"/"&amp;Translation!C22</f>
        <v>kWh/Sm³</v>
      </c>
      <c r="I5" s="625">
        <v>0.75</v>
      </c>
      <c r="J5" s="147" t="str">
        <f>Translation!C10&amp;"/"&amp;Translation!C22</f>
        <v>€/Sm³</v>
      </c>
      <c r="K5" s="150">
        <f>I5/G5</f>
        <v>7.7319587628865982E-2</v>
      </c>
      <c r="L5" s="147" t="str">
        <f>Translation!$C$10&amp;"/"&amp;Translation!$C$15</f>
        <v>€/kWh</v>
      </c>
      <c r="M5" s="627">
        <v>0.85</v>
      </c>
      <c r="N5" s="628">
        <v>0.97</v>
      </c>
      <c r="O5" s="301"/>
      <c r="P5" s="302"/>
      <c r="Q5" s="302"/>
      <c r="R5" s="302"/>
      <c r="S5" s="302"/>
      <c r="T5" s="302"/>
      <c r="U5" s="302"/>
      <c r="V5" s="302"/>
      <c r="W5" s="302"/>
      <c r="X5" s="302"/>
      <c r="Y5" s="302"/>
      <c r="Z5" s="302"/>
    </row>
    <row r="6" spans="2:26" ht="12" customHeight="1" x14ac:dyDescent="0.25">
      <c r="B6" s="757"/>
      <c r="D6" s="146" t="str">
        <f>'F+T Translation'!B33&amp;" ("&amp;Translation!C23&amp;")"</f>
        <v>UNP (m³)</v>
      </c>
      <c r="E6" s="143"/>
      <c r="F6" s="163" t="str">
        <f>Translation!C23</f>
        <v>m³</v>
      </c>
      <c r="G6" s="624">
        <v>24.44</v>
      </c>
      <c r="H6" s="623" t="str">
        <f>Translation!C15&amp;"/"&amp;Translation!C23</f>
        <v>kWh/m³</v>
      </c>
      <c r="I6" s="625">
        <v>5.87</v>
      </c>
      <c r="J6" s="147" t="str">
        <f>Translation!C10&amp;"/"&amp;Translation!C23</f>
        <v>€/m³</v>
      </c>
      <c r="K6" s="150">
        <f t="shared" ref="K6:K19" si="0">I6/G6</f>
        <v>0.24018003273322422</v>
      </c>
      <c r="L6" s="147" t="str">
        <f>Translation!$C$10&amp;"/"&amp;Translation!$C$15</f>
        <v>€/kWh</v>
      </c>
      <c r="M6" s="627">
        <v>0.85</v>
      </c>
      <c r="N6" s="628">
        <v>0.94</v>
      </c>
      <c r="O6" s="301"/>
      <c r="P6" s="302"/>
      <c r="Q6" s="302"/>
      <c r="R6" s="302"/>
      <c r="S6" s="302"/>
      <c r="T6" s="302"/>
      <c r="U6" s="302"/>
      <c r="V6" s="302"/>
      <c r="W6" s="302"/>
      <c r="X6" s="302"/>
      <c r="Y6" s="302"/>
      <c r="Z6" s="302"/>
    </row>
    <row r="7" spans="2:26" x14ac:dyDescent="0.25">
      <c r="B7" s="757"/>
      <c r="D7" s="146" t="str">
        <f>'F+T Translation'!B33&amp;" ("&amp;Translation!C24&amp;")"</f>
        <v>UNP (l)</v>
      </c>
      <c r="E7" s="143"/>
      <c r="F7" s="163" t="str">
        <f>Translation!C24</f>
        <v>l</v>
      </c>
      <c r="G7" s="624">
        <v>6.8</v>
      </c>
      <c r="H7" s="623" t="str">
        <f>Translation!C15&amp;"/"&amp;Translation!C24</f>
        <v>kWh/l</v>
      </c>
      <c r="I7" s="625">
        <v>1.63</v>
      </c>
      <c r="J7" s="147" t="str">
        <f>Translation!C10&amp;"/"&amp;Translation!C24</f>
        <v>€/l</v>
      </c>
      <c r="K7" s="150">
        <f t="shared" si="0"/>
        <v>0.23970588235294116</v>
      </c>
      <c r="L7" s="147" t="str">
        <f>Translation!$C$10&amp;"/"&amp;Translation!$C$15</f>
        <v>€/kWh</v>
      </c>
      <c r="M7" s="627">
        <v>0.85</v>
      </c>
      <c r="N7" s="628">
        <v>0.94</v>
      </c>
      <c r="O7" s="301"/>
      <c r="P7" s="302"/>
      <c r="Q7" s="302"/>
      <c r="R7" s="302"/>
      <c r="S7" s="302"/>
      <c r="T7" s="302"/>
      <c r="U7" s="302"/>
      <c r="V7" s="302"/>
      <c r="W7" s="302"/>
      <c r="X7" s="302"/>
      <c r="Y7" s="302"/>
      <c r="Z7" s="302"/>
    </row>
    <row r="8" spans="2:26" x14ac:dyDescent="0.25">
      <c r="B8" s="757"/>
      <c r="D8" s="146" t="str">
        <f>'F+T Translation'!B33&amp;" ("&amp;Translation!C25&amp;")"</f>
        <v>UNP (kg)</v>
      </c>
      <c r="E8" s="143"/>
      <c r="F8" s="163" t="str">
        <f>Translation!$C$25</f>
        <v>kg</v>
      </c>
      <c r="G8" s="624">
        <v>12.9</v>
      </c>
      <c r="H8" s="623" t="str">
        <f>Translation!C15&amp;"/"&amp;Translation!C25</f>
        <v>kWh/kg</v>
      </c>
      <c r="I8" s="625">
        <v>3.1</v>
      </c>
      <c r="J8" s="147" t="str">
        <f>Translation!C10&amp;"/"&amp;Translation!C25</f>
        <v>€/kg</v>
      </c>
      <c r="K8" s="150">
        <f t="shared" si="0"/>
        <v>0.24031007751937986</v>
      </c>
      <c r="L8" s="147" t="str">
        <f>Translation!$C$10&amp;"/"&amp;Translation!$C$15</f>
        <v>€/kWh</v>
      </c>
      <c r="M8" s="627">
        <v>0.85</v>
      </c>
      <c r="N8" s="628">
        <v>0.94</v>
      </c>
      <c r="O8" s="301"/>
      <c r="P8" s="302"/>
      <c r="Q8" s="302"/>
      <c r="R8" s="302"/>
      <c r="S8" s="302"/>
      <c r="T8" s="302"/>
      <c r="U8" s="302"/>
      <c r="V8" s="302"/>
      <c r="W8" s="302"/>
      <c r="X8" s="302"/>
      <c r="Y8" s="302"/>
      <c r="Z8" s="302"/>
    </row>
    <row r="9" spans="2:26" x14ac:dyDescent="0.25">
      <c r="B9" s="757"/>
      <c r="D9" s="146" t="str">
        <f>'F+T Translation'!B34&amp;" ("&amp;Translation!C24&amp;")"</f>
        <v>Dizelsko gorivo (l)</v>
      </c>
      <c r="E9" s="143"/>
      <c r="F9" s="163" t="str">
        <f>Translation!C24</f>
        <v>l</v>
      </c>
      <c r="G9" s="624">
        <f>G10/1.176</f>
        <v>10.05952380952381</v>
      </c>
      <c r="H9" s="623" t="str">
        <f>Translation!C15&amp;"/"&amp;Translation!C24</f>
        <v>kWh/l</v>
      </c>
      <c r="I9" s="625">
        <v>1.05</v>
      </c>
      <c r="J9" s="147" t="str">
        <f>Translation!C10&amp;"/"&amp;Translation!C24</f>
        <v>€/l</v>
      </c>
      <c r="K9" s="150">
        <f t="shared" si="0"/>
        <v>0.10437869822485207</v>
      </c>
      <c r="L9" s="147" t="str">
        <f>Translation!$C$10&amp;"/"&amp;Translation!$C$15</f>
        <v>€/kWh</v>
      </c>
      <c r="M9" s="627">
        <v>0.82</v>
      </c>
      <c r="N9" s="628">
        <v>0.92</v>
      </c>
      <c r="O9" s="301"/>
      <c r="P9" s="302"/>
      <c r="Q9" s="302"/>
      <c r="R9" s="302"/>
      <c r="S9" s="302"/>
      <c r="T9" s="302"/>
      <c r="U9" s="302"/>
      <c r="V9" s="302"/>
      <c r="W9" s="302"/>
      <c r="X9" s="302"/>
      <c r="Y9" s="302"/>
      <c r="Z9" s="302"/>
    </row>
    <row r="10" spans="2:26" x14ac:dyDescent="0.25">
      <c r="B10" s="757"/>
      <c r="D10" s="146" t="str">
        <f>'F+T Translation'!B34&amp;" ("&amp;Translation!C25&amp;")"</f>
        <v>Dizelsko gorivo (kg)</v>
      </c>
      <c r="E10" s="143"/>
      <c r="F10" s="163" t="str">
        <f>Translation!$C$25</f>
        <v>kg</v>
      </c>
      <c r="G10" s="624">
        <v>11.83</v>
      </c>
      <c r="H10" s="623" t="str">
        <f>Translation!C15&amp;"/"&amp;Translation!C25</f>
        <v>kWh/kg</v>
      </c>
      <c r="I10" s="625">
        <v>1.23</v>
      </c>
      <c r="J10" s="147" t="str">
        <f>Translation!C10&amp;"/"&amp;Translation!C25</f>
        <v>€/kg</v>
      </c>
      <c r="K10" s="150">
        <f t="shared" si="0"/>
        <v>0.10397295012679628</v>
      </c>
      <c r="L10" s="147" t="str">
        <f>Translation!$C$10&amp;"/"&amp;Translation!$C$15</f>
        <v>€/kWh</v>
      </c>
      <c r="M10" s="627">
        <v>0.82</v>
      </c>
      <c r="N10" s="628">
        <v>0.92</v>
      </c>
      <c r="O10" s="301"/>
      <c r="P10" s="302"/>
      <c r="Q10" s="302"/>
      <c r="R10" s="302"/>
      <c r="S10" s="302"/>
      <c r="T10" s="302"/>
      <c r="U10" s="302"/>
      <c r="V10" s="302"/>
      <c r="W10" s="302"/>
      <c r="X10" s="302"/>
      <c r="Y10" s="302"/>
      <c r="Z10" s="302"/>
    </row>
    <row r="11" spans="2:26" x14ac:dyDescent="0.25">
      <c r="B11" s="757"/>
      <c r="D11" s="146" t="str">
        <f>'F+T Translation'!B35</f>
        <v>Kurilno olje</v>
      </c>
      <c r="E11" s="143"/>
      <c r="F11" s="163" t="str">
        <f>Translation!$C$25</f>
        <v>kg</v>
      </c>
      <c r="G11" s="624">
        <v>11.47</v>
      </c>
      <c r="H11" s="623" t="str">
        <f>Translation!C15&amp;"/"&amp;Translation!C25</f>
        <v>kWh/kg</v>
      </c>
      <c r="I11" s="625">
        <v>1.85</v>
      </c>
      <c r="J11" s="147" t="str">
        <f>Translation!C10&amp;"/"&amp;Translation!C25</f>
        <v>€/kg</v>
      </c>
      <c r="K11" s="150">
        <f t="shared" si="0"/>
        <v>0.16129032258064516</v>
      </c>
      <c r="L11" s="147" t="str">
        <f>Translation!$C$10&amp;"/"&amp;Translation!$C$15</f>
        <v>€/kWh</v>
      </c>
      <c r="M11" s="627">
        <v>0.8</v>
      </c>
      <c r="N11" s="628">
        <v>0.8</v>
      </c>
      <c r="O11" s="301"/>
      <c r="P11" s="302"/>
      <c r="Q11" s="302"/>
      <c r="R11" s="302"/>
      <c r="S11" s="302"/>
      <c r="T11" s="302"/>
      <c r="U11" s="302"/>
      <c r="V11" s="302"/>
      <c r="W11" s="302"/>
      <c r="X11" s="302"/>
      <c r="Y11" s="302"/>
      <c r="Z11" s="302"/>
    </row>
    <row r="12" spans="2:26" x14ac:dyDescent="0.25">
      <c r="B12" s="757"/>
      <c r="D12" s="146" t="str">
        <f>'F+T Translation'!B36</f>
        <v>Peleti</v>
      </c>
      <c r="E12" s="143"/>
      <c r="F12" s="163" t="str">
        <f>Translation!$C$25</f>
        <v>kg</v>
      </c>
      <c r="G12" s="624">
        <v>5</v>
      </c>
      <c r="H12" s="623" t="str">
        <f>Translation!C15&amp;"/"&amp;Translation!C25</f>
        <v>kWh/kg</v>
      </c>
      <c r="I12" s="625">
        <v>0.32</v>
      </c>
      <c r="J12" s="147" t="str">
        <f>Translation!C10&amp;"/"&amp;Translation!C25</f>
        <v>€/kg</v>
      </c>
      <c r="K12" s="150">
        <f t="shared" si="0"/>
        <v>6.4000000000000001E-2</v>
      </c>
      <c r="L12" s="147" t="str">
        <f>Translation!$C$10&amp;"/"&amp;Translation!$C$15</f>
        <v>€/kWh</v>
      </c>
      <c r="M12" s="627">
        <v>0.8</v>
      </c>
      <c r="N12" s="628">
        <v>0.87</v>
      </c>
      <c r="O12" s="301"/>
      <c r="P12" s="302"/>
      <c r="Q12" s="302"/>
      <c r="R12" s="302"/>
      <c r="S12" s="302"/>
      <c r="T12" s="302"/>
      <c r="U12" s="302"/>
      <c r="V12" s="302"/>
      <c r="W12" s="302"/>
      <c r="X12" s="302"/>
      <c r="Y12" s="302"/>
      <c r="Z12" s="302"/>
    </row>
    <row r="13" spans="2:26" x14ac:dyDescent="0.25">
      <c r="B13" s="757"/>
      <c r="D13" s="146" t="str">
        <f>'F+T Translation'!B37</f>
        <v>Polena</v>
      </c>
      <c r="E13" s="143"/>
      <c r="F13" s="163" t="str">
        <f>Translation!$C$25</f>
        <v>kg</v>
      </c>
      <c r="G13" s="624">
        <v>3.8</v>
      </c>
      <c r="H13" s="623" t="str">
        <f>Translation!C15&amp;"/"&amp;Translation!C25</f>
        <v>kWh/kg</v>
      </c>
      <c r="I13" s="625">
        <v>0.19</v>
      </c>
      <c r="J13" s="147" t="str">
        <f>Translation!C10&amp;"/"&amp;Translation!C25</f>
        <v>€/kg</v>
      </c>
      <c r="K13" s="150">
        <f t="shared" si="0"/>
        <v>0.05</v>
      </c>
      <c r="L13" s="147" t="str">
        <f>Translation!$C$10&amp;"/"&amp;Translation!$C$15</f>
        <v>€/kWh</v>
      </c>
      <c r="M13" s="627">
        <v>0.78</v>
      </c>
      <c r="N13" s="628">
        <v>0.85</v>
      </c>
      <c r="O13" s="301"/>
      <c r="P13" s="302"/>
      <c r="Q13" s="302"/>
      <c r="R13" s="302"/>
      <c r="S13" s="302"/>
      <c r="T13" s="302"/>
      <c r="U13" s="302"/>
      <c r="V13" s="302"/>
      <c r="W13" s="302"/>
      <c r="X13" s="302"/>
      <c r="Y13" s="302"/>
      <c r="Z13" s="302"/>
    </row>
    <row r="14" spans="2:26" x14ac:dyDescent="0.25">
      <c r="B14" s="757"/>
      <c r="D14" s="146" t="str">
        <f>'F+T Translation'!B38</f>
        <v>Lesni sekanci</v>
      </c>
      <c r="E14" s="143"/>
      <c r="F14" s="163" t="str">
        <f>Translation!$C$25</f>
        <v>kg</v>
      </c>
      <c r="G14" s="624">
        <v>3.4</v>
      </c>
      <c r="H14" s="623" t="str">
        <f>H13</f>
        <v>kWh/kg</v>
      </c>
      <c r="I14" s="625">
        <v>0.12</v>
      </c>
      <c r="J14" s="147" t="str">
        <f>J13</f>
        <v>€/kg</v>
      </c>
      <c r="K14" s="150">
        <f t="shared" si="0"/>
        <v>3.5294117647058823E-2</v>
      </c>
      <c r="L14" s="147" t="str">
        <f>L13</f>
        <v>€/kWh</v>
      </c>
      <c r="M14" s="627">
        <v>0.76</v>
      </c>
      <c r="N14" s="628">
        <v>0.84</v>
      </c>
      <c r="O14" s="301"/>
      <c r="P14" s="302"/>
      <c r="Q14" s="302"/>
      <c r="R14" s="302"/>
      <c r="S14" s="302"/>
      <c r="T14" s="302"/>
      <c r="U14" s="302"/>
      <c r="V14" s="302"/>
      <c r="W14" s="302"/>
      <c r="X14" s="302"/>
      <c r="Y14" s="302"/>
      <c r="Z14" s="302"/>
    </row>
    <row r="15" spans="2:26" x14ac:dyDescent="0.25">
      <c r="B15" s="757"/>
      <c r="D15" s="146" t="str">
        <f>'F+T Translation'!B39</f>
        <v>Električna energija</v>
      </c>
      <c r="E15" s="143"/>
      <c r="F15" s="163" t="str">
        <f>Translation!$C$15</f>
        <v>kWh</v>
      </c>
      <c r="G15" s="624">
        <v>1</v>
      </c>
      <c r="H15" s="623" t="str">
        <f>Translation!C15&amp;"/"&amp;Translation!C15</f>
        <v>kWh/kWh</v>
      </c>
      <c r="I15" s="625">
        <v>0.23</v>
      </c>
      <c r="J15" s="147" t="str">
        <f>Translation!$C$10&amp;"/"&amp;Translation!$C$15</f>
        <v>€/kWh</v>
      </c>
      <c r="K15" s="150">
        <f>I15</f>
        <v>0.23</v>
      </c>
      <c r="L15" s="147" t="str">
        <f>Translation!$C$10&amp;"/"&amp;Translation!$C$15</f>
        <v>€/kWh</v>
      </c>
      <c r="M15" s="627">
        <v>1</v>
      </c>
      <c r="N15" s="628">
        <v>1</v>
      </c>
      <c r="O15" s="301"/>
      <c r="P15" s="302"/>
      <c r="Q15" s="302"/>
      <c r="R15" s="302"/>
      <c r="S15" s="302"/>
      <c r="T15" s="302"/>
      <c r="U15" s="302"/>
      <c r="V15" s="302"/>
      <c r="W15" s="302"/>
      <c r="X15" s="302"/>
      <c r="Y15" s="302"/>
      <c r="Z15" s="302"/>
    </row>
    <row r="16" spans="2:26" x14ac:dyDescent="0.25">
      <c r="B16" s="757"/>
      <c r="D16" s="146" t="str">
        <f>'F+T Translation'!B40</f>
        <v>Električna energija (toplotna črpalka)</v>
      </c>
      <c r="E16" s="143"/>
      <c r="F16" s="163" t="str">
        <f>Translation!$C$15</f>
        <v>kWh</v>
      </c>
      <c r="G16" s="624">
        <v>1</v>
      </c>
      <c r="H16" s="623" t="str">
        <f>H15</f>
        <v>kWh/kWh</v>
      </c>
      <c r="I16" s="625">
        <v>0.23</v>
      </c>
      <c r="J16" s="147" t="str">
        <f>J15</f>
        <v>€/kWh</v>
      </c>
      <c r="K16" s="150">
        <f>I16</f>
        <v>0.23</v>
      </c>
      <c r="L16" s="147" t="str">
        <f>L15</f>
        <v>€/kWh</v>
      </c>
      <c r="M16" s="627">
        <v>2</v>
      </c>
      <c r="N16" s="628">
        <v>2.8</v>
      </c>
      <c r="O16" s="301"/>
      <c r="P16" s="302"/>
      <c r="Q16" s="302"/>
      <c r="R16" s="302"/>
      <c r="S16" s="302"/>
      <c r="T16" s="302"/>
      <c r="U16" s="302"/>
      <c r="V16" s="302"/>
      <c r="W16" s="302"/>
      <c r="X16" s="302"/>
      <c r="Y16" s="302"/>
      <c r="Z16" s="302"/>
    </row>
    <row r="17" spans="2:34" x14ac:dyDescent="0.25">
      <c r="B17" s="757"/>
      <c r="D17" s="146"/>
      <c r="E17" s="143"/>
      <c r="F17" s="164"/>
      <c r="G17" s="624">
        <v>1</v>
      </c>
      <c r="H17" s="623" t="str">
        <f t="shared" ref="H17:H19" si="1">H16</f>
        <v>kWh/kWh</v>
      </c>
      <c r="I17" s="626"/>
      <c r="J17" s="147"/>
      <c r="K17" s="150">
        <f t="shared" si="0"/>
        <v>0</v>
      </c>
      <c r="L17" s="147" t="str">
        <f>Translation!$C$10&amp;"/"&amp;Translation!$C$15</f>
        <v>€/kWh</v>
      </c>
      <c r="M17" s="627"/>
      <c r="N17" s="629"/>
      <c r="O17" s="301"/>
    </row>
    <row r="18" spans="2:34" x14ac:dyDescent="0.25">
      <c r="B18" s="757"/>
      <c r="D18" s="146"/>
      <c r="E18" s="143"/>
      <c r="F18" s="139"/>
      <c r="G18" s="624">
        <v>1</v>
      </c>
      <c r="H18" s="623" t="str">
        <f t="shared" si="1"/>
        <v>kWh/kWh</v>
      </c>
      <c r="I18" s="626"/>
      <c r="J18" s="147"/>
      <c r="K18" s="150">
        <f t="shared" si="0"/>
        <v>0</v>
      </c>
      <c r="L18" s="147" t="str">
        <f>Translation!$C$10&amp;"/"&amp;Translation!$C$15</f>
        <v>€/kWh</v>
      </c>
      <c r="M18" s="627"/>
      <c r="N18" s="629"/>
      <c r="O18" s="301"/>
    </row>
    <row r="19" spans="2:34" x14ac:dyDescent="0.25">
      <c r="B19" s="757"/>
      <c r="D19" s="146"/>
      <c r="E19" s="143"/>
      <c r="F19" s="139"/>
      <c r="G19" s="624">
        <v>1</v>
      </c>
      <c r="H19" s="623" t="str">
        <f t="shared" si="1"/>
        <v>kWh/kWh</v>
      </c>
      <c r="I19" s="626"/>
      <c r="J19" s="147"/>
      <c r="K19" s="150">
        <f t="shared" si="0"/>
        <v>0</v>
      </c>
      <c r="L19" s="147" t="str">
        <f>Translation!$C$10&amp;"/"&amp;Translation!$C$15</f>
        <v>€/kWh</v>
      </c>
      <c r="M19" s="627"/>
      <c r="N19" s="629"/>
      <c r="O19" s="301"/>
    </row>
    <row r="21" spans="2:34" x14ac:dyDescent="0.25">
      <c r="B21" s="758">
        <v>2</v>
      </c>
      <c r="D21" s="725" t="str">
        <f>'F+T Translation'!B3</f>
        <v>Podatki o konvencionalnem sistemu ogrevanja</v>
      </c>
      <c r="E21" s="726"/>
      <c r="F21" s="726"/>
      <c r="G21" s="726"/>
      <c r="H21" s="726"/>
      <c r="I21" s="726"/>
      <c r="J21" s="726"/>
      <c r="K21" s="742" t="str">
        <f>'F+T Translation'!B12</f>
        <v>Porazdelitev dni ogrevanja</v>
      </c>
      <c r="L21" s="728"/>
      <c r="M21" s="728"/>
      <c r="N21" s="728"/>
      <c r="O21" s="728"/>
      <c r="P21" s="728"/>
      <c r="Q21" s="728"/>
      <c r="R21" s="728"/>
      <c r="S21" s="728"/>
      <c r="T21" s="728"/>
      <c r="U21" s="728"/>
      <c r="V21" s="750"/>
      <c r="W21" s="742" t="str">
        <f>'F+T Translation'!B13&amp;" (%)"</f>
        <v>Porazdelitev TP (%)</v>
      </c>
      <c r="X21" s="728"/>
      <c r="Y21" s="728"/>
      <c r="Z21" s="728"/>
      <c r="AA21" s="728"/>
      <c r="AB21" s="728"/>
      <c r="AC21" s="728"/>
      <c r="AD21" s="728"/>
      <c r="AE21" s="728"/>
      <c r="AF21" s="728"/>
      <c r="AG21" s="728"/>
      <c r="AH21" s="728"/>
    </row>
    <row r="22" spans="2:34" s="133" customFormat="1" ht="33.75" x14ac:dyDescent="0.25">
      <c r="B22" s="759"/>
      <c r="D22" s="187" t="str">
        <f>'F+T Translation'!B80</f>
        <v>Podnebje</v>
      </c>
      <c r="E22" s="294" t="str">
        <f>'F+T Translation'!B6</f>
        <v>Min. TP</v>
      </c>
      <c r="F22" s="294" t="str">
        <f>'F+T Translation'!B7</f>
        <v>Maks. TP</v>
      </c>
      <c r="G22" s="294" t="str">
        <f>'F+T Translation'!B8</f>
        <v>Začetek sezone ogrevanja</v>
      </c>
      <c r="H22" s="294" t="str">
        <f>'F+T Translation'!B9</f>
        <v>Konec sezone ogrevanja</v>
      </c>
      <c r="I22" s="294" t="str">
        <f>'F+T Translation'!B11</f>
        <v>Ure ogrevanja na dan</v>
      </c>
      <c r="J22" s="307" t="str">
        <f>'F+T Translation'!B10</f>
        <v>Dnevi ogrevanja</v>
      </c>
      <c r="K22" s="149" t="str">
        <f>'F+T Translation'!$B$14</f>
        <v>Jan.</v>
      </c>
      <c r="L22" s="134" t="str">
        <f>'F+T Translation'!$B$15</f>
        <v>Feb.</v>
      </c>
      <c r="M22" s="134" t="str">
        <f>'F+T Translation'!$B$16</f>
        <v>Mar.</v>
      </c>
      <c r="N22" s="134" t="str">
        <f>'F+T Translation'!$B$17</f>
        <v>Apr.</v>
      </c>
      <c r="O22" s="134" t="str">
        <f>'F+T Translation'!$B$18</f>
        <v>Maj</v>
      </c>
      <c r="P22" s="134" t="str">
        <f>'F+T Translation'!$B$19</f>
        <v>Jun.</v>
      </c>
      <c r="Q22" s="134" t="str">
        <f>'F+T Translation'!$B$20</f>
        <v>Jul.</v>
      </c>
      <c r="R22" s="134" t="str">
        <f>'F+T Translation'!$B$21</f>
        <v>Avg.</v>
      </c>
      <c r="S22" s="134" t="str">
        <f>'F+T Translation'!$B$22</f>
        <v>Sep.</v>
      </c>
      <c r="T22" s="134" t="str">
        <f>'F+T Translation'!$B$23</f>
        <v>Okt.</v>
      </c>
      <c r="U22" s="134" t="str">
        <f>'F+T Translation'!$B$24</f>
        <v>Nov.</v>
      </c>
      <c r="V22" s="148" t="str">
        <f>'F+T Translation'!$B$25</f>
        <v>Dec.</v>
      </c>
      <c r="W22" s="149" t="str">
        <f>'F+T Translation'!$B$14</f>
        <v>Jan.</v>
      </c>
      <c r="X22" s="134" t="str">
        <f>'F+T Translation'!$B$15</f>
        <v>Feb.</v>
      </c>
      <c r="Y22" s="134" t="str">
        <f>'F+T Translation'!$B$16</f>
        <v>Mar.</v>
      </c>
      <c r="Z22" s="134" t="str">
        <f>'F+T Translation'!$B$17</f>
        <v>Apr.</v>
      </c>
      <c r="AA22" s="134" t="str">
        <f>'F+T Translation'!$B$18</f>
        <v>Maj</v>
      </c>
      <c r="AB22" s="134" t="str">
        <f>'F+T Translation'!$B$19</f>
        <v>Jun.</v>
      </c>
      <c r="AC22" s="134" t="str">
        <f>'F+T Translation'!$B$20</f>
        <v>Jul.</v>
      </c>
      <c r="AD22" s="134" t="str">
        <f>'F+T Translation'!$B$21</f>
        <v>Avg.</v>
      </c>
      <c r="AE22" s="134" t="str">
        <f>'F+T Translation'!$B$22</f>
        <v>Sep.</v>
      </c>
      <c r="AF22" s="134" t="str">
        <f>'F+T Translation'!$B$23</f>
        <v>Okt.</v>
      </c>
      <c r="AG22" s="134" t="str">
        <f>'F+T Translation'!$B$24</f>
        <v>Nov.</v>
      </c>
      <c r="AH22" s="187" t="str">
        <f>'F+T Translation'!$B$25</f>
        <v>Dec.</v>
      </c>
    </row>
    <row r="23" spans="2:34" x14ac:dyDescent="0.25">
      <c r="B23" s="759"/>
      <c r="D23" s="172" t="s">
        <v>400</v>
      </c>
      <c r="E23" s="630">
        <v>0</v>
      </c>
      <c r="F23" s="630">
        <v>600</v>
      </c>
      <c r="G23" s="631">
        <v>43070</v>
      </c>
      <c r="H23" s="631">
        <v>42809</v>
      </c>
      <c r="I23" s="630">
        <v>6</v>
      </c>
      <c r="J23" s="632">
        <f>SUM(K23:V23)</f>
        <v>105</v>
      </c>
      <c r="K23" s="633">
        <v>31</v>
      </c>
      <c r="L23" s="630">
        <v>28</v>
      </c>
      <c r="M23" s="630">
        <v>15</v>
      </c>
      <c r="N23" s="630">
        <v>0</v>
      </c>
      <c r="O23" s="630">
        <v>0</v>
      </c>
      <c r="P23" s="630">
        <v>0</v>
      </c>
      <c r="Q23" s="630">
        <v>0</v>
      </c>
      <c r="R23" s="630">
        <v>0</v>
      </c>
      <c r="S23" s="630">
        <v>0</v>
      </c>
      <c r="T23" s="630">
        <v>0</v>
      </c>
      <c r="U23" s="630">
        <v>0</v>
      </c>
      <c r="V23" s="632">
        <v>31</v>
      </c>
      <c r="W23" s="633">
        <v>29.5</v>
      </c>
      <c r="X23" s="630">
        <v>26.8</v>
      </c>
      <c r="Y23" s="630">
        <v>14.3</v>
      </c>
      <c r="Z23" s="630">
        <v>0</v>
      </c>
      <c r="AA23" s="630">
        <v>0</v>
      </c>
      <c r="AB23" s="630">
        <v>0</v>
      </c>
      <c r="AC23" s="630">
        <v>0</v>
      </c>
      <c r="AD23" s="630">
        <v>0</v>
      </c>
      <c r="AE23" s="630">
        <v>0</v>
      </c>
      <c r="AF23" s="630">
        <v>0</v>
      </c>
      <c r="AG23" s="630">
        <v>0</v>
      </c>
      <c r="AH23" s="630">
        <v>29.400000000000006</v>
      </c>
    </row>
    <row r="24" spans="2:34" x14ac:dyDescent="0.25">
      <c r="B24" s="759"/>
      <c r="D24" s="172" t="s">
        <v>401</v>
      </c>
      <c r="E24" s="630">
        <f>F23+1</f>
        <v>601</v>
      </c>
      <c r="F24" s="630">
        <v>900</v>
      </c>
      <c r="G24" s="631">
        <v>43070</v>
      </c>
      <c r="H24" s="631">
        <v>42825</v>
      </c>
      <c r="I24" s="630">
        <v>8</v>
      </c>
      <c r="J24" s="632">
        <f t="shared" ref="J24:J30" si="2">SUM(K24:V24)</f>
        <v>121</v>
      </c>
      <c r="K24" s="633">
        <v>31</v>
      </c>
      <c r="L24" s="630">
        <v>28</v>
      </c>
      <c r="M24" s="630">
        <v>31</v>
      </c>
      <c r="N24" s="630">
        <v>0</v>
      </c>
      <c r="O24" s="630">
        <v>0</v>
      </c>
      <c r="P24" s="630">
        <v>0</v>
      </c>
      <c r="Q24" s="630">
        <v>0</v>
      </c>
      <c r="R24" s="630">
        <v>0</v>
      </c>
      <c r="S24" s="630">
        <v>0</v>
      </c>
      <c r="T24" s="630">
        <v>0</v>
      </c>
      <c r="U24" s="630">
        <v>0</v>
      </c>
      <c r="V24" s="632">
        <v>31</v>
      </c>
      <c r="W24" s="633">
        <v>28.6</v>
      </c>
      <c r="X24" s="630">
        <v>24.9</v>
      </c>
      <c r="Y24" s="630">
        <v>23.1</v>
      </c>
      <c r="Z24" s="630">
        <v>0</v>
      </c>
      <c r="AA24" s="630">
        <v>0</v>
      </c>
      <c r="AB24" s="630">
        <v>0</v>
      </c>
      <c r="AC24" s="630">
        <v>0</v>
      </c>
      <c r="AD24" s="630">
        <v>0</v>
      </c>
      <c r="AE24" s="630">
        <v>0</v>
      </c>
      <c r="AF24" s="630">
        <v>0</v>
      </c>
      <c r="AG24" s="630">
        <v>0</v>
      </c>
      <c r="AH24" s="630">
        <v>23.400000000000006</v>
      </c>
    </row>
    <row r="25" spans="2:34" x14ac:dyDescent="0.25">
      <c r="B25" s="759"/>
      <c r="D25" s="172" t="s">
        <v>402</v>
      </c>
      <c r="E25" s="630">
        <f t="shared" ref="E25:E30" si="3">F24+1</f>
        <v>901</v>
      </c>
      <c r="F25" s="630">
        <v>1400</v>
      </c>
      <c r="G25" s="631">
        <v>43054</v>
      </c>
      <c r="H25" s="631">
        <v>42825</v>
      </c>
      <c r="I25" s="630">
        <v>10</v>
      </c>
      <c r="J25" s="632">
        <f t="shared" si="2"/>
        <v>137</v>
      </c>
      <c r="K25" s="633">
        <v>31</v>
      </c>
      <c r="L25" s="630">
        <v>28</v>
      </c>
      <c r="M25" s="630">
        <v>31</v>
      </c>
      <c r="N25" s="630">
        <v>0</v>
      </c>
      <c r="O25" s="630">
        <v>0</v>
      </c>
      <c r="P25" s="630">
        <v>0</v>
      </c>
      <c r="Q25" s="630">
        <v>0</v>
      </c>
      <c r="R25" s="630">
        <v>0</v>
      </c>
      <c r="S25" s="630">
        <v>0</v>
      </c>
      <c r="T25" s="630">
        <v>0</v>
      </c>
      <c r="U25" s="630">
        <v>16</v>
      </c>
      <c r="V25" s="632">
        <v>31</v>
      </c>
      <c r="W25" s="633">
        <v>26.6</v>
      </c>
      <c r="X25" s="630">
        <v>23</v>
      </c>
      <c r="Y25" s="630">
        <v>20.100000000000001</v>
      </c>
      <c r="Z25" s="630">
        <v>0</v>
      </c>
      <c r="AA25" s="630">
        <v>0</v>
      </c>
      <c r="AB25" s="630">
        <v>0</v>
      </c>
      <c r="AC25" s="630">
        <v>0</v>
      </c>
      <c r="AD25" s="630">
        <v>0</v>
      </c>
      <c r="AE25" s="630">
        <v>0</v>
      </c>
      <c r="AF25" s="630">
        <v>0</v>
      </c>
      <c r="AG25" s="630">
        <v>7.3</v>
      </c>
      <c r="AH25" s="630">
        <v>23</v>
      </c>
    </row>
    <row r="26" spans="2:34" x14ac:dyDescent="0.25">
      <c r="B26" s="759"/>
      <c r="D26" s="172" t="s">
        <v>403</v>
      </c>
      <c r="E26" s="630">
        <f t="shared" si="3"/>
        <v>1401</v>
      </c>
      <c r="F26" s="630">
        <v>2100</v>
      </c>
      <c r="G26" s="631">
        <v>43040</v>
      </c>
      <c r="H26" s="631">
        <v>42840</v>
      </c>
      <c r="I26" s="630">
        <v>12</v>
      </c>
      <c r="J26" s="632">
        <f t="shared" si="2"/>
        <v>166</v>
      </c>
      <c r="K26" s="633">
        <v>31</v>
      </c>
      <c r="L26" s="630">
        <v>28</v>
      </c>
      <c r="M26" s="630">
        <v>31</v>
      </c>
      <c r="N26" s="630">
        <v>15</v>
      </c>
      <c r="O26" s="630">
        <v>0</v>
      </c>
      <c r="P26" s="630">
        <v>0</v>
      </c>
      <c r="Q26" s="630">
        <v>0</v>
      </c>
      <c r="R26" s="630">
        <v>0</v>
      </c>
      <c r="S26" s="630">
        <v>0</v>
      </c>
      <c r="T26" s="630">
        <v>0</v>
      </c>
      <c r="U26" s="630">
        <v>30</v>
      </c>
      <c r="V26" s="632">
        <v>31</v>
      </c>
      <c r="W26" s="633">
        <v>23.3</v>
      </c>
      <c r="X26" s="630">
        <v>19.7</v>
      </c>
      <c r="Y26" s="630">
        <v>16.8</v>
      </c>
      <c r="Z26" s="630">
        <v>5.4</v>
      </c>
      <c r="AA26" s="630">
        <v>0</v>
      </c>
      <c r="AB26" s="630">
        <v>0</v>
      </c>
      <c r="AC26" s="630">
        <v>0</v>
      </c>
      <c r="AD26" s="630">
        <v>0</v>
      </c>
      <c r="AE26" s="630">
        <v>0</v>
      </c>
      <c r="AF26" s="630">
        <v>0</v>
      </c>
      <c r="AG26" s="630">
        <v>14</v>
      </c>
      <c r="AH26" s="630">
        <v>20.799999999999997</v>
      </c>
    </row>
    <row r="27" spans="2:34" x14ac:dyDescent="0.25">
      <c r="B27" s="759"/>
      <c r="D27" s="172" t="s">
        <v>276</v>
      </c>
      <c r="E27" s="630">
        <f t="shared" si="3"/>
        <v>2101</v>
      </c>
      <c r="F27" s="630">
        <v>3000</v>
      </c>
      <c r="G27" s="631">
        <v>43023</v>
      </c>
      <c r="H27" s="631">
        <v>42840</v>
      </c>
      <c r="I27" s="630">
        <v>14</v>
      </c>
      <c r="J27" s="632">
        <f t="shared" si="2"/>
        <v>183</v>
      </c>
      <c r="K27" s="633">
        <v>31</v>
      </c>
      <c r="L27" s="630">
        <v>28</v>
      </c>
      <c r="M27" s="630">
        <v>31</v>
      </c>
      <c r="N27" s="630">
        <v>15</v>
      </c>
      <c r="O27" s="630">
        <v>0</v>
      </c>
      <c r="P27" s="630">
        <v>0</v>
      </c>
      <c r="Q27" s="630">
        <v>0</v>
      </c>
      <c r="R27" s="630">
        <v>0</v>
      </c>
      <c r="S27" s="630">
        <v>0</v>
      </c>
      <c r="T27" s="630">
        <v>17</v>
      </c>
      <c r="U27" s="630">
        <v>30</v>
      </c>
      <c r="V27" s="632">
        <v>31</v>
      </c>
      <c r="W27" s="633">
        <v>22.5</v>
      </c>
      <c r="X27" s="630">
        <v>18.600000000000001</v>
      </c>
      <c r="Y27" s="630">
        <v>15</v>
      </c>
      <c r="Z27" s="630">
        <v>4.7</v>
      </c>
      <c r="AA27" s="630">
        <v>0</v>
      </c>
      <c r="AB27" s="630">
        <v>0</v>
      </c>
      <c r="AC27" s="630">
        <v>0</v>
      </c>
      <c r="AD27" s="630">
        <v>0</v>
      </c>
      <c r="AE27" s="630">
        <v>0</v>
      </c>
      <c r="AF27" s="630">
        <v>4.2</v>
      </c>
      <c r="AG27" s="630">
        <v>14.5</v>
      </c>
      <c r="AH27" s="630">
        <v>20.5</v>
      </c>
    </row>
    <row r="28" spans="2:34" x14ac:dyDescent="0.25">
      <c r="B28" s="759"/>
      <c r="D28" s="172" t="s">
        <v>414</v>
      </c>
      <c r="E28" s="630">
        <f t="shared" si="3"/>
        <v>3001</v>
      </c>
      <c r="F28" s="630">
        <v>3900</v>
      </c>
      <c r="G28" s="631">
        <v>43013</v>
      </c>
      <c r="H28" s="631">
        <v>42847</v>
      </c>
      <c r="I28" s="630">
        <v>16</v>
      </c>
      <c r="J28" s="632">
        <f t="shared" si="2"/>
        <v>200</v>
      </c>
      <c r="K28" s="633">
        <v>31</v>
      </c>
      <c r="L28" s="630">
        <v>28</v>
      </c>
      <c r="M28" s="630">
        <v>31</v>
      </c>
      <c r="N28" s="630">
        <v>22</v>
      </c>
      <c r="O28" s="630">
        <v>0</v>
      </c>
      <c r="P28" s="630">
        <v>0</v>
      </c>
      <c r="Q28" s="630">
        <v>0</v>
      </c>
      <c r="R28" s="630">
        <v>0</v>
      </c>
      <c r="S28" s="630">
        <v>0</v>
      </c>
      <c r="T28" s="630">
        <v>27</v>
      </c>
      <c r="U28" s="630">
        <v>30</v>
      </c>
      <c r="V28" s="632">
        <v>31</v>
      </c>
      <c r="W28" s="633">
        <v>19.3</v>
      </c>
      <c r="X28" s="630">
        <v>16.7</v>
      </c>
      <c r="Y28" s="630">
        <v>15</v>
      </c>
      <c r="Z28" s="630">
        <v>8.5</v>
      </c>
      <c r="AA28" s="630">
        <v>0</v>
      </c>
      <c r="AB28" s="630">
        <v>0</v>
      </c>
      <c r="AC28" s="630">
        <v>0</v>
      </c>
      <c r="AD28" s="630">
        <v>0</v>
      </c>
      <c r="AE28" s="630">
        <v>0</v>
      </c>
      <c r="AF28" s="630">
        <v>8.4</v>
      </c>
      <c r="AG28" s="630">
        <v>14</v>
      </c>
      <c r="AH28" s="630">
        <v>18.099999999999994</v>
      </c>
    </row>
    <row r="29" spans="2:34" x14ac:dyDescent="0.25">
      <c r="B29" s="759"/>
      <c r="D29" s="172" t="s">
        <v>411</v>
      </c>
      <c r="E29" s="630">
        <f t="shared" si="3"/>
        <v>3901</v>
      </c>
      <c r="F29" s="630">
        <v>4800</v>
      </c>
      <c r="G29" s="631">
        <f>G28</f>
        <v>43013</v>
      </c>
      <c r="H29" s="631">
        <f>H28</f>
        <v>42847</v>
      </c>
      <c r="I29" s="630">
        <v>18</v>
      </c>
      <c r="J29" s="632">
        <f t="shared" si="2"/>
        <v>200</v>
      </c>
      <c r="K29" s="633">
        <v>31</v>
      </c>
      <c r="L29" s="630">
        <v>28</v>
      </c>
      <c r="M29" s="630">
        <v>31</v>
      </c>
      <c r="N29" s="630">
        <v>22</v>
      </c>
      <c r="O29" s="630">
        <v>0</v>
      </c>
      <c r="P29" s="630">
        <v>0</v>
      </c>
      <c r="Q29" s="630">
        <v>0</v>
      </c>
      <c r="R29" s="630">
        <v>0</v>
      </c>
      <c r="S29" s="630">
        <v>0</v>
      </c>
      <c r="T29" s="630">
        <v>27</v>
      </c>
      <c r="U29" s="630">
        <v>30</v>
      </c>
      <c r="V29" s="632">
        <v>31</v>
      </c>
      <c r="W29" s="633">
        <v>19.3</v>
      </c>
      <c r="X29" s="630">
        <v>16.7</v>
      </c>
      <c r="Y29" s="630">
        <v>15</v>
      </c>
      <c r="Z29" s="630">
        <v>8.5</v>
      </c>
      <c r="AA29" s="630">
        <v>0</v>
      </c>
      <c r="AB29" s="630">
        <v>0</v>
      </c>
      <c r="AC29" s="630">
        <v>0</v>
      </c>
      <c r="AD29" s="630">
        <v>0</v>
      </c>
      <c r="AE29" s="630">
        <v>0</v>
      </c>
      <c r="AF29" s="630">
        <v>8.4</v>
      </c>
      <c r="AG29" s="630">
        <v>14</v>
      </c>
      <c r="AH29" s="630">
        <v>18.099999999999994</v>
      </c>
    </row>
    <row r="30" spans="2:34" x14ac:dyDescent="0.25">
      <c r="B30" s="760"/>
      <c r="D30" s="172" t="s">
        <v>412</v>
      </c>
      <c r="E30" s="630">
        <f t="shared" si="3"/>
        <v>4801</v>
      </c>
      <c r="F30" s="630">
        <v>6000</v>
      </c>
      <c r="G30" s="631">
        <f>G29</f>
        <v>43013</v>
      </c>
      <c r="H30" s="631">
        <f>H29</f>
        <v>42847</v>
      </c>
      <c r="I30" s="630">
        <v>20</v>
      </c>
      <c r="J30" s="632">
        <f t="shared" si="2"/>
        <v>200</v>
      </c>
      <c r="K30" s="633">
        <v>31</v>
      </c>
      <c r="L30" s="630">
        <v>28</v>
      </c>
      <c r="M30" s="630">
        <v>31</v>
      </c>
      <c r="N30" s="630">
        <v>22</v>
      </c>
      <c r="O30" s="630">
        <v>0</v>
      </c>
      <c r="P30" s="630">
        <v>0</v>
      </c>
      <c r="Q30" s="630">
        <v>0</v>
      </c>
      <c r="R30" s="630">
        <v>0</v>
      </c>
      <c r="S30" s="630">
        <v>0</v>
      </c>
      <c r="T30" s="630">
        <v>27</v>
      </c>
      <c r="U30" s="630">
        <v>30</v>
      </c>
      <c r="V30" s="632">
        <v>31</v>
      </c>
      <c r="W30" s="633">
        <v>19.3</v>
      </c>
      <c r="X30" s="630">
        <v>16.7</v>
      </c>
      <c r="Y30" s="630">
        <v>15</v>
      </c>
      <c r="Z30" s="630">
        <v>8.5</v>
      </c>
      <c r="AA30" s="630">
        <v>0</v>
      </c>
      <c r="AB30" s="630">
        <v>0</v>
      </c>
      <c r="AC30" s="630">
        <v>0</v>
      </c>
      <c r="AD30" s="630">
        <v>0</v>
      </c>
      <c r="AE30" s="630">
        <v>0</v>
      </c>
      <c r="AF30" s="630">
        <v>8.4</v>
      </c>
      <c r="AG30" s="630">
        <v>14</v>
      </c>
      <c r="AH30" s="630">
        <v>18.099999999999994</v>
      </c>
    </row>
    <row r="32" spans="2:34" x14ac:dyDescent="0.25">
      <c r="B32" s="758">
        <v>3</v>
      </c>
      <c r="E32" s="746" t="str">
        <f>Translation!C48&amp;" (°"&amp;'F+T Translation'!B42&amp;")"</f>
        <v>Zemljepisna širina (°S)</v>
      </c>
      <c r="F32" s="751"/>
      <c r="G32" s="728" t="str">
        <f>'F+T Translation'!B41</f>
        <v>Obsevanje na horizontalno ravnino</v>
      </c>
      <c r="H32" s="728"/>
      <c r="I32" s="728"/>
      <c r="J32" s="728"/>
      <c r="K32" s="728" t="str">
        <f>'F+T Translation'!B4&amp;" (%)"</f>
        <v>Porazdelitev sevanja (%)</v>
      </c>
      <c r="L32" s="728"/>
      <c r="M32" s="728"/>
      <c r="N32" s="728"/>
      <c r="O32" s="728"/>
      <c r="P32" s="728"/>
      <c r="Q32" s="728"/>
      <c r="R32" s="728"/>
      <c r="S32" s="728"/>
      <c r="T32" s="728"/>
      <c r="U32" s="728"/>
      <c r="V32" s="728"/>
      <c r="W32" s="746" t="str">
        <f>'F+T Translation'!B100</f>
        <v xml:space="preserve">Proizvodnja elektrike FV </v>
      </c>
      <c r="X32" s="751"/>
    </row>
    <row r="33" spans="2:24" s="133" customFormat="1" ht="11.25" x14ac:dyDescent="0.25">
      <c r="B33" s="759"/>
      <c r="E33" s="748"/>
      <c r="F33" s="752"/>
      <c r="G33" s="728"/>
      <c r="H33" s="728"/>
      <c r="I33" s="728"/>
      <c r="J33" s="728"/>
      <c r="K33" s="308" t="str">
        <f>'F+T Translation'!$B$14</f>
        <v>Jan.</v>
      </c>
      <c r="L33" s="134" t="str">
        <f>'F+T Translation'!$B$15</f>
        <v>Feb.</v>
      </c>
      <c r="M33" s="134" t="str">
        <f>'F+T Translation'!$B$16</f>
        <v>Mar.</v>
      </c>
      <c r="N33" s="134" t="str">
        <f>'F+T Translation'!$B$17</f>
        <v>Apr.</v>
      </c>
      <c r="O33" s="134" t="str">
        <f>'F+T Translation'!$B$18</f>
        <v>Maj</v>
      </c>
      <c r="P33" s="134" t="str">
        <f>'F+T Translation'!$B$19</f>
        <v>Jun.</v>
      </c>
      <c r="Q33" s="134" t="str">
        <f>'F+T Translation'!$B$20</f>
        <v>Jul.</v>
      </c>
      <c r="R33" s="134" t="str">
        <f>'F+T Translation'!$B$21</f>
        <v>Avg.</v>
      </c>
      <c r="S33" s="134" t="str">
        <f>'F+T Translation'!$B$22</f>
        <v>Sep.</v>
      </c>
      <c r="T33" s="134" t="str">
        <f>'F+T Translation'!$B$23</f>
        <v>Okt.</v>
      </c>
      <c r="U33" s="134" t="str">
        <f>'F+T Translation'!$B$24</f>
        <v>Nov.</v>
      </c>
      <c r="V33" s="148" t="str">
        <f>'F+T Translation'!$B$25</f>
        <v>Dec.</v>
      </c>
      <c r="W33" s="748"/>
      <c r="X33" s="752"/>
    </row>
    <row r="34" spans="2:24" x14ac:dyDescent="0.25">
      <c r="B34" s="759"/>
      <c r="E34" s="140" t="s">
        <v>436</v>
      </c>
      <c r="F34" s="142" t="str">
        <f>E35</f>
        <v>36°</v>
      </c>
      <c r="G34" s="151"/>
      <c r="H34" s="634">
        <v>1900</v>
      </c>
      <c r="I34" s="152" t="str">
        <f>Translation!$C$17</f>
        <v>kWh/m²l</v>
      </c>
      <c r="J34" s="141"/>
      <c r="K34" s="635">
        <v>4</v>
      </c>
      <c r="L34" s="635">
        <v>5</v>
      </c>
      <c r="M34" s="635">
        <v>7.5</v>
      </c>
      <c r="N34" s="635">
        <v>9.6</v>
      </c>
      <c r="O34" s="635">
        <v>12</v>
      </c>
      <c r="P34" s="635">
        <v>12.8</v>
      </c>
      <c r="Q34" s="635">
        <v>13.329999999999998</v>
      </c>
      <c r="R34" s="635">
        <v>11.87</v>
      </c>
      <c r="S34" s="635">
        <v>9</v>
      </c>
      <c r="T34" s="635">
        <v>7</v>
      </c>
      <c r="U34" s="635">
        <v>4.4000000000000004</v>
      </c>
      <c r="V34" s="636">
        <v>3.5</v>
      </c>
      <c r="W34" s="637">
        <v>1600</v>
      </c>
      <c r="X34" s="317" t="str">
        <f>Translation!$C$16&amp;" "&amp;Translation!$C$19</f>
        <v>kWh/leto kWp</v>
      </c>
    </row>
    <row r="35" spans="2:24" x14ac:dyDescent="0.25">
      <c r="B35" s="759"/>
      <c r="E35" s="140" t="s">
        <v>423</v>
      </c>
      <c r="F35" s="142" t="str">
        <f>E36</f>
        <v>37°</v>
      </c>
      <c r="G35" s="151"/>
      <c r="H35" s="634">
        <f>H34-50</f>
        <v>1850</v>
      </c>
      <c r="I35" s="152" t="str">
        <f>Translation!$C$17</f>
        <v>kWh/m²l</v>
      </c>
      <c r="J35" s="141"/>
      <c r="K35" s="635">
        <v>4</v>
      </c>
      <c r="L35" s="635">
        <v>5</v>
      </c>
      <c r="M35" s="635">
        <v>7.5</v>
      </c>
      <c r="N35" s="635">
        <v>9.6</v>
      </c>
      <c r="O35" s="635">
        <v>12</v>
      </c>
      <c r="P35" s="635">
        <v>12.8</v>
      </c>
      <c r="Q35" s="635">
        <v>13.329999999999998</v>
      </c>
      <c r="R35" s="635">
        <v>11.87</v>
      </c>
      <c r="S35" s="635">
        <v>9</v>
      </c>
      <c r="T35" s="635">
        <v>7</v>
      </c>
      <c r="U35" s="635">
        <v>4.4000000000000004</v>
      </c>
      <c r="V35" s="636">
        <v>3.5</v>
      </c>
      <c r="W35" s="637">
        <f>W34-50</f>
        <v>1550</v>
      </c>
      <c r="X35" s="569" t="str">
        <f>Translation!$C$16&amp;" "&amp;Translation!$C$19</f>
        <v>kWh/leto kWp</v>
      </c>
    </row>
    <row r="36" spans="2:24" x14ac:dyDescent="0.25">
      <c r="B36" s="759"/>
      <c r="E36" s="140" t="s">
        <v>424</v>
      </c>
      <c r="F36" s="142" t="str">
        <f t="shared" ref="F36:F46" si="4">E37</f>
        <v>38°</v>
      </c>
      <c r="G36" s="158"/>
      <c r="H36" s="634">
        <f>H35-50</f>
        <v>1800</v>
      </c>
      <c r="I36" s="152" t="str">
        <f>Translation!$C$17</f>
        <v>kWh/m²l</v>
      </c>
      <c r="J36" s="141"/>
      <c r="K36" s="635">
        <v>4</v>
      </c>
      <c r="L36" s="635">
        <v>5</v>
      </c>
      <c r="M36" s="635">
        <v>7.5</v>
      </c>
      <c r="N36" s="635">
        <v>9.6</v>
      </c>
      <c r="O36" s="635">
        <v>12</v>
      </c>
      <c r="P36" s="635">
        <v>12.8</v>
      </c>
      <c r="Q36" s="635">
        <v>13.329999999999998</v>
      </c>
      <c r="R36" s="635">
        <v>11.87</v>
      </c>
      <c r="S36" s="635">
        <v>9</v>
      </c>
      <c r="T36" s="635">
        <v>7</v>
      </c>
      <c r="U36" s="635">
        <v>4.4000000000000004</v>
      </c>
      <c r="V36" s="636">
        <v>3.5</v>
      </c>
      <c r="W36" s="637">
        <f>W35-50</f>
        <v>1500</v>
      </c>
      <c r="X36" s="569" t="str">
        <f>Translation!$C$16&amp;" "&amp;Translation!$C$19</f>
        <v>kWh/leto kWp</v>
      </c>
    </row>
    <row r="37" spans="2:24" x14ac:dyDescent="0.25">
      <c r="B37" s="759"/>
      <c r="E37" s="173" t="s">
        <v>425</v>
      </c>
      <c r="F37" s="142" t="str">
        <f t="shared" si="4"/>
        <v>39°</v>
      </c>
      <c r="G37" s="158"/>
      <c r="H37" s="634">
        <f t="shared" ref="H37:H47" si="5">H36-50</f>
        <v>1750</v>
      </c>
      <c r="I37" s="152" t="str">
        <f>Translation!$C$17</f>
        <v>kWh/m²l</v>
      </c>
      <c r="J37" s="141"/>
      <c r="K37" s="635">
        <v>4</v>
      </c>
      <c r="L37" s="635">
        <v>5</v>
      </c>
      <c r="M37" s="635">
        <v>7.5</v>
      </c>
      <c r="N37" s="635">
        <v>9.6</v>
      </c>
      <c r="O37" s="635">
        <v>12</v>
      </c>
      <c r="P37" s="635">
        <v>12.8</v>
      </c>
      <c r="Q37" s="635">
        <v>13.329999999999998</v>
      </c>
      <c r="R37" s="635">
        <v>11.87</v>
      </c>
      <c r="S37" s="635">
        <v>9</v>
      </c>
      <c r="T37" s="635">
        <v>7</v>
      </c>
      <c r="U37" s="635">
        <v>4.4000000000000004</v>
      </c>
      <c r="V37" s="636">
        <v>3.5</v>
      </c>
      <c r="W37" s="637">
        <f t="shared" ref="W37:W47" si="6">W36-50</f>
        <v>1450</v>
      </c>
      <c r="X37" s="569" t="str">
        <f>Translation!$C$16&amp;" "&amp;Translation!$C$19</f>
        <v>kWh/leto kWp</v>
      </c>
    </row>
    <row r="38" spans="2:24" x14ac:dyDescent="0.25">
      <c r="B38" s="759"/>
      <c r="E38" s="173" t="s">
        <v>426</v>
      </c>
      <c r="F38" s="142" t="str">
        <f t="shared" si="4"/>
        <v>40°</v>
      </c>
      <c r="G38" s="158"/>
      <c r="H38" s="634">
        <f t="shared" si="5"/>
        <v>1700</v>
      </c>
      <c r="I38" s="152" t="str">
        <f>Translation!$C$17</f>
        <v>kWh/m²l</v>
      </c>
      <c r="J38" s="141"/>
      <c r="K38" s="635">
        <v>3.5</v>
      </c>
      <c r="L38" s="635">
        <v>4.5</v>
      </c>
      <c r="M38" s="635">
        <v>7.4</v>
      </c>
      <c r="N38" s="635">
        <v>9.6</v>
      </c>
      <c r="O38" s="635">
        <v>12.3</v>
      </c>
      <c r="P38" s="635">
        <v>13.3</v>
      </c>
      <c r="Q38" s="635">
        <v>14.600000000000009</v>
      </c>
      <c r="R38" s="635">
        <v>12.5</v>
      </c>
      <c r="S38" s="635">
        <v>9.1</v>
      </c>
      <c r="T38" s="635">
        <v>6.4</v>
      </c>
      <c r="U38" s="635">
        <v>3.8</v>
      </c>
      <c r="V38" s="636">
        <v>3</v>
      </c>
      <c r="W38" s="637">
        <f t="shared" si="6"/>
        <v>1400</v>
      </c>
      <c r="X38" s="569" t="str">
        <f>Translation!$C$16&amp;" "&amp;Translation!$C$19</f>
        <v>kWh/leto kWp</v>
      </c>
    </row>
    <row r="39" spans="2:24" x14ac:dyDescent="0.25">
      <c r="B39" s="759"/>
      <c r="E39" s="173" t="s">
        <v>427</v>
      </c>
      <c r="F39" s="142" t="str">
        <f t="shared" si="4"/>
        <v>41°</v>
      </c>
      <c r="G39" s="158"/>
      <c r="H39" s="634">
        <f t="shared" si="5"/>
        <v>1650</v>
      </c>
      <c r="I39" s="152" t="str">
        <f>Translation!$C$17</f>
        <v>kWh/m²l</v>
      </c>
      <c r="J39" s="141"/>
      <c r="K39" s="635">
        <v>3.5</v>
      </c>
      <c r="L39" s="635">
        <v>4.5</v>
      </c>
      <c r="M39" s="635">
        <v>7.4</v>
      </c>
      <c r="N39" s="635">
        <v>9.6</v>
      </c>
      <c r="O39" s="635">
        <v>12.3</v>
      </c>
      <c r="P39" s="635">
        <v>13.3</v>
      </c>
      <c r="Q39" s="635">
        <v>14.600000000000009</v>
      </c>
      <c r="R39" s="635">
        <v>12.5</v>
      </c>
      <c r="S39" s="635">
        <v>9.1</v>
      </c>
      <c r="T39" s="635">
        <v>6.4</v>
      </c>
      <c r="U39" s="635">
        <v>3.8</v>
      </c>
      <c r="V39" s="636">
        <v>3</v>
      </c>
      <c r="W39" s="637">
        <f t="shared" si="6"/>
        <v>1350</v>
      </c>
      <c r="X39" s="569" t="str">
        <f>Translation!$C$16&amp;" "&amp;Translation!$C$19</f>
        <v>kWh/leto kWp</v>
      </c>
    </row>
    <row r="40" spans="2:24" x14ac:dyDescent="0.25">
      <c r="B40" s="759"/>
      <c r="E40" s="173" t="s">
        <v>428</v>
      </c>
      <c r="F40" s="142" t="str">
        <f t="shared" si="4"/>
        <v>42°</v>
      </c>
      <c r="G40" s="158"/>
      <c r="H40" s="634">
        <f t="shared" si="5"/>
        <v>1600</v>
      </c>
      <c r="I40" s="152" t="str">
        <f>Translation!$C$17</f>
        <v>kWh/m²l</v>
      </c>
      <c r="J40" s="141"/>
      <c r="K40" s="635">
        <v>3.5</v>
      </c>
      <c r="L40" s="635">
        <v>4.5</v>
      </c>
      <c r="M40" s="635">
        <v>7.4</v>
      </c>
      <c r="N40" s="635">
        <v>9.6</v>
      </c>
      <c r="O40" s="635">
        <v>12.3</v>
      </c>
      <c r="P40" s="635">
        <v>13.3</v>
      </c>
      <c r="Q40" s="635">
        <v>14.600000000000009</v>
      </c>
      <c r="R40" s="635">
        <v>12.5</v>
      </c>
      <c r="S40" s="635">
        <v>9.1</v>
      </c>
      <c r="T40" s="635">
        <v>6.4</v>
      </c>
      <c r="U40" s="635">
        <v>3.8</v>
      </c>
      <c r="V40" s="636">
        <v>3</v>
      </c>
      <c r="W40" s="637">
        <f t="shared" si="6"/>
        <v>1300</v>
      </c>
      <c r="X40" s="569" t="str">
        <f>Translation!$C$16&amp;" "&amp;Translation!$C$19</f>
        <v>kWh/leto kWp</v>
      </c>
    </row>
    <row r="41" spans="2:24" x14ac:dyDescent="0.25">
      <c r="B41" s="759"/>
      <c r="E41" s="173" t="s">
        <v>429</v>
      </c>
      <c r="F41" s="142" t="str">
        <f t="shared" si="4"/>
        <v>43°</v>
      </c>
      <c r="G41" s="158"/>
      <c r="H41" s="634">
        <f t="shared" si="5"/>
        <v>1550</v>
      </c>
      <c r="I41" s="152" t="str">
        <f>Translation!$C$17</f>
        <v>kWh/m²l</v>
      </c>
      <c r="J41" s="141"/>
      <c r="K41" s="635">
        <v>3.1</v>
      </c>
      <c r="L41" s="635">
        <v>4.3</v>
      </c>
      <c r="M41" s="635">
        <v>7.4</v>
      </c>
      <c r="N41" s="635">
        <v>9.8000000000000007</v>
      </c>
      <c r="O41" s="635">
        <v>12.5</v>
      </c>
      <c r="P41" s="635">
        <v>13.5</v>
      </c>
      <c r="Q41" s="635">
        <v>15.299999999999997</v>
      </c>
      <c r="R41" s="635">
        <v>12.6</v>
      </c>
      <c r="S41" s="635">
        <v>9.1</v>
      </c>
      <c r="T41" s="635">
        <v>6.3</v>
      </c>
      <c r="U41" s="635">
        <v>3.4</v>
      </c>
      <c r="V41" s="636">
        <v>2.7</v>
      </c>
      <c r="W41" s="637">
        <f t="shared" si="6"/>
        <v>1250</v>
      </c>
      <c r="X41" s="569" t="str">
        <f>Translation!$C$16&amp;" "&amp;Translation!$C$19</f>
        <v>kWh/leto kWp</v>
      </c>
    </row>
    <row r="42" spans="2:24" x14ac:dyDescent="0.25">
      <c r="B42" s="759"/>
      <c r="E42" s="173" t="s">
        <v>430</v>
      </c>
      <c r="F42" s="142" t="str">
        <f t="shared" si="4"/>
        <v>44°</v>
      </c>
      <c r="G42" s="158"/>
      <c r="H42" s="634">
        <f t="shared" si="5"/>
        <v>1500</v>
      </c>
      <c r="I42" s="152" t="str">
        <f>Translation!$C$17</f>
        <v>kWh/m²l</v>
      </c>
      <c r="J42" s="141"/>
      <c r="K42" s="635">
        <v>3.1</v>
      </c>
      <c r="L42" s="635">
        <v>4.3</v>
      </c>
      <c r="M42" s="635">
        <v>7.4</v>
      </c>
      <c r="N42" s="635">
        <v>9.8000000000000007</v>
      </c>
      <c r="O42" s="635">
        <v>12.5</v>
      </c>
      <c r="P42" s="635">
        <v>13.5</v>
      </c>
      <c r="Q42" s="635">
        <v>15.299999999999997</v>
      </c>
      <c r="R42" s="635">
        <v>12.6</v>
      </c>
      <c r="S42" s="635">
        <v>9.1</v>
      </c>
      <c r="T42" s="635">
        <v>6.3</v>
      </c>
      <c r="U42" s="635">
        <v>3.4</v>
      </c>
      <c r="V42" s="636">
        <v>2.7</v>
      </c>
      <c r="W42" s="637">
        <f t="shared" si="6"/>
        <v>1200</v>
      </c>
      <c r="X42" s="569" t="str">
        <f>Translation!$C$16&amp;" "&amp;Translation!$C$19</f>
        <v>kWh/leto kWp</v>
      </c>
    </row>
    <row r="43" spans="2:24" x14ac:dyDescent="0.25">
      <c r="B43" s="759"/>
      <c r="E43" s="173" t="s">
        <v>431</v>
      </c>
      <c r="F43" s="142" t="str">
        <f t="shared" si="4"/>
        <v>45°</v>
      </c>
      <c r="G43" s="158"/>
      <c r="H43" s="634">
        <f t="shared" si="5"/>
        <v>1450</v>
      </c>
      <c r="I43" s="152" t="str">
        <f>Translation!$C$17</f>
        <v>kWh/m²l</v>
      </c>
      <c r="J43" s="141"/>
      <c r="K43" s="635">
        <v>3.1</v>
      </c>
      <c r="L43" s="635">
        <v>4.3</v>
      </c>
      <c r="M43" s="635">
        <v>7.4</v>
      </c>
      <c r="N43" s="635">
        <v>9.8000000000000007</v>
      </c>
      <c r="O43" s="635">
        <v>12.5</v>
      </c>
      <c r="P43" s="635">
        <v>13.5</v>
      </c>
      <c r="Q43" s="635">
        <v>15.299999999999997</v>
      </c>
      <c r="R43" s="635">
        <v>12.6</v>
      </c>
      <c r="S43" s="635">
        <v>9.1</v>
      </c>
      <c r="T43" s="635">
        <v>6.3</v>
      </c>
      <c r="U43" s="635">
        <v>3.4</v>
      </c>
      <c r="V43" s="636">
        <v>2.7</v>
      </c>
      <c r="W43" s="637">
        <f t="shared" si="6"/>
        <v>1150</v>
      </c>
      <c r="X43" s="569" t="str">
        <f>Translation!$C$16&amp;" "&amp;Translation!$C$19</f>
        <v>kWh/leto kWp</v>
      </c>
    </row>
    <row r="44" spans="2:24" x14ac:dyDescent="0.25">
      <c r="B44" s="759"/>
      <c r="E44" s="173" t="s">
        <v>432</v>
      </c>
      <c r="F44" s="142" t="str">
        <f t="shared" si="4"/>
        <v>46°</v>
      </c>
      <c r="G44" s="158"/>
      <c r="H44" s="634">
        <f t="shared" si="5"/>
        <v>1400</v>
      </c>
      <c r="I44" s="152" t="str">
        <f>Translation!$C$17</f>
        <v>kWh/m²l</v>
      </c>
      <c r="J44" s="141"/>
      <c r="K44" s="635">
        <v>2.9</v>
      </c>
      <c r="L44" s="635">
        <v>4.3</v>
      </c>
      <c r="M44" s="635">
        <v>7.5</v>
      </c>
      <c r="N44" s="635">
        <v>10</v>
      </c>
      <c r="O44" s="635">
        <v>12.8</v>
      </c>
      <c r="P44" s="635">
        <v>13.9</v>
      </c>
      <c r="Q44" s="635">
        <v>15.5</v>
      </c>
      <c r="R44" s="635">
        <v>12.7</v>
      </c>
      <c r="S44" s="635">
        <v>9</v>
      </c>
      <c r="T44" s="635">
        <v>5.8</v>
      </c>
      <c r="U44" s="635">
        <v>3.1</v>
      </c>
      <c r="V44" s="636">
        <v>2.5</v>
      </c>
      <c r="W44" s="637">
        <f t="shared" si="6"/>
        <v>1100</v>
      </c>
      <c r="X44" s="569" t="str">
        <f>Translation!$C$16&amp;" "&amp;Translation!$C$19</f>
        <v>kWh/leto kWp</v>
      </c>
    </row>
    <row r="45" spans="2:24" x14ac:dyDescent="0.25">
      <c r="B45" s="759"/>
      <c r="E45" s="173" t="s">
        <v>433</v>
      </c>
      <c r="F45" s="142" t="str">
        <f t="shared" si="4"/>
        <v>47°</v>
      </c>
      <c r="G45" s="158"/>
      <c r="H45" s="634">
        <f t="shared" si="5"/>
        <v>1350</v>
      </c>
      <c r="I45" s="152" t="str">
        <f>Translation!$C$17</f>
        <v>kWh/m²l</v>
      </c>
      <c r="J45" s="141"/>
      <c r="K45" s="635">
        <v>2.9</v>
      </c>
      <c r="L45" s="635">
        <v>4.3</v>
      </c>
      <c r="M45" s="635">
        <v>7.5</v>
      </c>
      <c r="N45" s="635">
        <v>10</v>
      </c>
      <c r="O45" s="635">
        <v>12.8</v>
      </c>
      <c r="P45" s="635">
        <v>13.9</v>
      </c>
      <c r="Q45" s="635">
        <v>15.5</v>
      </c>
      <c r="R45" s="635">
        <v>12.7</v>
      </c>
      <c r="S45" s="635">
        <v>9</v>
      </c>
      <c r="T45" s="635">
        <v>5.8</v>
      </c>
      <c r="U45" s="635">
        <v>3.1</v>
      </c>
      <c r="V45" s="636">
        <v>2.5</v>
      </c>
      <c r="W45" s="637">
        <f t="shared" si="6"/>
        <v>1050</v>
      </c>
      <c r="X45" s="569" t="str">
        <f>Translation!$C$16&amp;" "&amp;Translation!$C$19</f>
        <v>kWh/leto kWp</v>
      </c>
    </row>
    <row r="46" spans="2:24" x14ac:dyDescent="0.25">
      <c r="B46" s="759"/>
      <c r="E46" s="173" t="s">
        <v>434</v>
      </c>
      <c r="F46" s="142" t="str">
        <f t="shared" si="4"/>
        <v>48°</v>
      </c>
      <c r="G46" s="151"/>
      <c r="H46" s="634">
        <f t="shared" si="5"/>
        <v>1300</v>
      </c>
      <c r="I46" s="152" t="str">
        <f>Translation!$C$17</f>
        <v>kWh/m²l</v>
      </c>
      <c r="J46" s="141"/>
      <c r="K46" s="635">
        <v>2.9</v>
      </c>
      <c r="L46" s="635">
        <v>4.3</v>
      </c>
      <c r="M46" s="635">
        <v>7.5</v>
      </c>
      <c r="N46" s="635">
        <v>10</v>
      </c>
      <c r="O46" s="635">
        <v>12.8</v>
      </c>
      <c r="P46" s="635">
        <v>13.9</v>
      </c>
      <c r="Q46" s="635">
        <v>15.5</v>
      </c>
      <c r="R46" s="635">
        <v>12.7</v>
      </c>
      <c r="S46" s="635">
        <v>9</v>
      </c>
      <c r="T46" s="635">
        <v>5.8</v>
      </c>
      <c r="U46" s="635">
        <v>3.1</v>
      </c>
      <c r="V46" s="636">
        <v>2.5</v>
      </c>
      <c r="W46" s="637">
        <f t="shared" si="6"/>
        <v>1000</v>
      </c>
      <c r="X46" s="569" t="str">
        <f>Translation!$C$16&amp;" "&amp;Translation!$C$19</f>
        <v>kWh/leto kWp</v>
      </c>
    </row>
    <row r="47" spans="2:24" x14ac:dyDescent="0.25">
      <c r="B47" s="760"/>
      <c r="E47" s="140" t="s">
        <v>435</v>
      </c>
      <c r="F47" s="142" t="s">
        <v>437</v>
      </c>
      <c r="G47" s="151"/>
      <c r="H47" s="634">
        <f t="shared" si="5"/>
        <v>1250</v>
      </c>
      <c r="I47" s="152" t="str">
        <f>Translation!$C$17</f>
        <v>kWh/m²l</v>
      </c>
      <c r="J47" s="141"/>
      <c r="K47" s="635">
        <v>2.9</v>
      </c>
      <c r="L47" s="635">
        <v>4.3</v>
      </c>
      <c r="M47" s="635">
        <v>7.5</v>
      </c>
      <c r="N47" s="635">
        <v>10</v>
      </c>
      <c r="O47" s="635">
        <v>12.8</v>
      </c>
      <c r="P47" s="635">
        <v>13.9</v>
      </c>
      <c r="Q47" s="635">
        <v>15.5</v>
      </c>
      <c r="R47" s="635">
        <v>12.7</v>
      </c>
      <c r="S47" s="635">
        <v>9</v>
      </c>
      <c r="T47" s="635">
        <v>5.8</v>
      </c>
      <c r="U47" s="635">
        <v>3.1</v>
      </c>
      <c r="V47" s="636">
        <v>2.5</v>
      </c>
      <c r="W47" s="637">
        <f t="shared" si="6"/>
        <v>950</v>
      </c>
      <c r="X47" s="569" t="str">
        <f>Translation!$C$16&amp;" "&amp;Translation!$C$19</f>
        <v>kWh/leto kWp</v>
      </c>
    </row>
    <row r="49" spans="2:27" x14ac:dyDescent="0.25">
      <c r="B49" s="757">
        <v>4</v>
      </c>
      <c r="J49" s="728" t="str">
        <f>'F+T Translation'!B46&amp;" (%)"</f>
        <v>Razmerje obsevanja glede na horizontalno ravnino (%)</v>
      </c>
      <c r="K49" s="728"/>
      <c r="L49" s="728"/>
      <c r="M49" s="728"/>
      <c r="N49" s="728"/>
      <c r="O49" s="728"/>
      <c r="P49" s="728"/>
      <c r="Q49" s="728"/>
      <c r="R49" s="728"/>
      <c r="S49" s="728"/>
      <c r="T49" s="728"/>
      <c r="U49" s="728"/>
      <c r="V49" s="728"/>
    </row>
    <row r="50" spans="2:27" x14ac:dyDescent="0.25">
      <c r="B50" s="757"/>
      <c r="D50" s="238"/>
      <c r="E50" s="238"/>
      <c r="F50" s="238"/>
      <c r="G50" s="238"/>
      <c r="H50" s="230"/>
      <c r="J50" s="138"/>
      <c r="K50" s="159" t="str">
        <f>'F+T Translation'!$B$14</f>
        <v>Jan.</v>
      </c>
      <c r="L50" s="134" t="str">
        <f>'F+T Translation'!$B$15</f>
        <v>Feb.</v>
      </c>
      <c r="M50" s="134" t="str">
        <f>'F+T Translation'!$B$16</f>
        <v>Mar.</v>
      </c>
      <c r="N50" s="134" t="str">
        <f>'F+T Translation'!$B$17</f>
        <v>Apr.</v>
      </c>
      <c r="O50" s="134" t="str">
        <f>'F+T Translation'!$B$18</f>
        <v>Maj</v>
      </c>
      <c r="P50" s="134" t="str">
        <f>'F+T Translation'!$B$19</f>
        <v>Jun.</v>
      </c>
      <c r="Q50" s="134" t="str">
        <f>'F+T Translation'!$B$20</f>
        <v>Jul.</v>
      </c>
      <c r="R50" s="134" t="str">
        <f>'F+T Translation'!$B$21</f>
        <v>Avg.</v>
      </c>
      <c r="S50" s="134" t="str">
        <f>'F+T Translation'!$B$22</f>
        <v>Sep.</v>
      </c>
      <c r="T50" s="134" t="str">
        <f>'F+T Translation'!$B$23</f>
        <v>Okt.</v>
      </c>
      <c r="U50" s="134" t="str">
        <f>'F+T Translation'!$B$24</f>
        <v>Nov.</v>
      </c>
      <c r="V50" s="134" t="str">
        <f>'F+T Translation'!$B$25</f>
        <v>Dec.</v>
      </c>
    </row>
    <row r="51" spans="2:27" x14ac:dyDescent="0.25">
      <c r="B51" s="757"/>
      <c r="D51" s="185"/>
      <c r="E51" s="185"/>
      <c r="F51" s="185"/>
      <c r="G51" s="185"/>
      <c r="H51" s="231"/>
      <c r="J51" s="138" t="str">
        <f>'F+T Translation'!B42</f>
        <v>S</v>
      </c>
      <c r="K51" s="638">
        <v>30</v>
      </c>
      <c r="L51" s="639">
        <v>28</v>
      </c>
      <c r="M51" s="639">
        <v>27</v>
      </c>
      <c r="N51" s="639">
        <v>28</v>
      </c>
      <c r="O51" s="639">
        <v>33</v>
      </c>
      <c r="P51" s="639">
        <v>36</v>
      </c>
      <c r="Q51" s="639">
        <v>34</v>
      </c>
      <c r="R51" s="639">
        <v>27</v>
      </c>
      <c r="S51" s="639">
        <v>23</v>
      </c>
      <c r="T51" s="639">
        <v>24</v>
      </c>
      <c r="U51" s="639">
        <v>28</v>
      </c>
      <c r="V51" s="639">
        <v>30</v>
      </c>
      <c r="W51" s="160"/>
    </row>
    <row r="52" spans="2:27" x14ac:dyDescent="0.25">
      <c r="B52" s="757"/>
      <c r="D52" s="238"/>
      <c r="E52" s="238"/>
      <c r="F52" s="238"/>
      <c r="G52" s="238"/>
      <c r="H52" s="230"/>
      <c r="J52" s="138" t="str">
        <f>'F+T Translation'!B43&amp;"-"&amp;'F+T Translation'!B45</f>
        <v>V-Z</v>
      </c>
      <c r="K52" s="638">
        <v>76</v>
      </c>
      <c r="L52" s="639">
        <v>73</v>
      </c>
      <c r="M52" s="639">
        <v>69</v>
      </c>
      <c r="N52" s="639">
        <v>66</v>
      </c>
      <c r="O52" s="639">
        <v>62</v>
      </c>
      <c r="P52" s="639">
        <v>61</v>
      </c>
      <c r="Q52" s="639">
        <v>63</v>
      </c>
      <c r="R52" s="639">
        <v>66</v>
      </c>
      <c r="S52" s="639">
        <v>69</v>
      </c>
      <c r="T52" s="639">
        <v>74</v>
      </c>
      <c r="U52" s="639">
        <v>76</v>
      </c>
      <c r="V52" s="639">
        <v>77</v>
      </c>
      <c r="W52" s="160"/>
    </row>
    <row r="53" spans="2:27" x14ac:dyDescent="0.25">
      <c r="B53" s="757"/>
      <c r="D53" s="238"/>
      <c r="E53" s="238"/>
      <c r="F53" s="238"/>
      <c r="G53" s="238"/>
      <c r="H53" s="230"/>
      <c r="J53" s="138" t="str">
        <f>'F+T Translation'!B44</f>
        <v>J</v>
      </c>
      <c r="K53" s="638">
        <v>153</v>
      </c>
      <c r="L53" s="639">
        <v>121</v>
      </c>
      <c r="M53" s="639">
        <v>83</v>
      </c>
      <c r="N53" s="639">
        <v>55</v>
      </c>
      <c r="O53" s="639">
        <v>39</v>
      </c>
      <c r="P53" s="639">
        <v>32</v>
      </c>
      <c r="Q53" s="639">
        <v>34</v>
      </c>
      <c r="R53" s="639">
        <v>48</v>
      </c>
      <c r="S53" s="639">
        <v>72</v>
      </c>
      <c r="T53" s="639">
        <v>106</v>
      </c>
      <c r="U53" s="639">
        <v>148</v>
      </c>
      <c r="V53" s="639">
        <v>158</v>
      </c>
      <c r="W53" s="160"/>
    </row>
    <row r="54" spans="2:27" x14ac:dyDescent="0.25">
      <c r="D54" s="185"/>
      <c r="E54" s="185"/>
      <c r="F54" s="185"/>
      <c r="G54" s="185"/>
      <c r="H54" s="185"/>
      <c r="I54" s="185"/>
      <c r="J54" s="189"/>
      <c r="K54" s="189"/>
      <c r="L54" s="189"/>
      <c r="M54" s="189"/>
      <c r="N54" s="189"/>
      <c r="O54" s="189"/>
      <c r="P54" s="189"/>
      <c r="Q54" s="189"/>
      <c r="R54" s="189"/>
      <c r="S54" s="189"/>
      <c r="T54" s="189"/>
      <c r="U54" s="189"/>
      <c r="V54" s="160"/>
    </row>
    <row r="55" spans="2:27" x14ac:dyDescent="0.25">
      <c r="B55" s="758">
        <v>5</v>
      </c>
      <c r="D55" s="173"/>
      <c r="E55" s="141"/>
      <c r="F55" s="141"/>
      <c r="G55" s="331"/>
      <c r="H55" s="331"/>
      <c r="I55" s="179" t="str">
        <f>'F+T Translation'!B47&amp;":"</f>
        <v>Povprečna notranja višina:</v>
      </c>
      <c r="J55" s="640">
        <v>3</v>
      </c>
      <c r="K55" s="186" t="str">
        <f>Translation!$C$9</f>
        <v>m</v>
      </c>
      <c r="R55" s="237"/>
      <c r="S55" s="232"/>
      <c r="T55" s="232"/>
      <c r="U55" s="232"/>
      <c r="V55" s="233"/>
      <c r="W55" s="234"/>
      <c r="X55" s="235"/>
      <c r="Y55" s="233"/>
      <c r="Z55" s="234"/>
      <c r="AA55" s="235"/>
    </row>
    <row r="56" spans="2:27" x14ac:dyDescent="0.25">
      <c r="B56" s="759"/>
      <c r="D56" s="173"/>
      <c r="E56" s="141"/>
      <c r="F56" s="141"/>
      <c r="G56" s="331"/>
      <c r="H56" s="331"/>
      <c r="I56" s="179" t="str">
        <f>'F+T Translation'!B48&amp;":"</f>
        <v>Povprečna bruto višina mednadstropja:</v>
      </c>
      <c r="J56" s="640">
        <v>3.4</v>
      </c>
      <c r="K56" s="186" t="str">
        <f>Translation!$C$9</f>
        <v>m</v>
      </c>
      <c r="R56" s="237"/>
      <c r="S56" s="232"/>
      <c r="T56" s="232"/>
      <c r="U56" s="232"/>
      <c r="V56" s="233"/>
      <c r="W56" s="234"/>
      <c r="X56" s="235"/>
      <c r="Y56" s="233"/>
      <c r="Z56" s="234"/>
      <c r="AA56" s="235"/>
    </row>
    <row r="57" spans="2:27" x14ac:dyDescent="0.25">
      <c r="B57" s="759"/>
      <c r="D57" s="173"/>
      <c r="E57" s="141"/>
      <c r="F57" s="141"/>
      <c r="G57" s="331"/>
      <c r="H57" s="331"/>
      <c r="I57" s="179" t="str">
        <f>'F+T Translation'!B55&amp;":"</f>
        <v>Največja dimenzija krajše strani:</v>
      </c>
      <c r="J57" s="640">
        <v>14</v>
      </c>
      <c r="K57" s="186" t="str">
        <f>Translation!$C$9</f>
        <v>m</v>
      </c>
      <c r="S57" s="232"/>
      <c r="T57" s="232"/>
      <c r="U57" s="232"/>
      <c r="V57" s="233"/>
      <c r="W57" s="234"/>
      <c r="X57" s="235"/>
      <c r="Y57" s="233"/>
      <c r="Z57" s="234"/>
      <c r="AA57" s="235"/>
    </row>
    <row r="58" spans="2:27" x14ac:dyDescent="0.25">
      <c r="B58" s="759"/>
      <c r="D58" s="173"/>
      <c r="E58" s="141"/>
      <c r="F58" s="141"/>
      <c r="G58" s="331"/>
      <c r="H58" s="331"/>
      <c r="I58" s="179" t="str">
        <f>'F+T Translation'!B60&amp;":"</f>
        <v>Minimalno razmerje med stranema:</v>
      </c>
      <c r="J58" s="641" t="str">
        <f>"1 : "</f>
        <v xml:space="preserve">1 : </v>
      </c>
      <c r="K58" s="190">
        <v>3</v>
      </c>
      <c r="S58" s="232"/>
      <c r="T58" s="232"/>
      <c r="U58" s="232"/>
      <c r="V58" s="233"/>
      <c r="W58" s="234"/>
      <c r="X58" s="235"/>
      <c r="Y58" s="233"/>
      <c r="Z58" s="234"/>
      <c r="AA58" s="235"/>
    </row>
    <row r="59" spans="2:27" x14ac:dyDescent="0.25">
      <c r="B59" s="759"/>
      <c r="D59" s="173"/>
      <c r="E59" s="141"/>
      <c r="F59" s="141"/>
      <c r="G59" s="331"/>
      <c r="H59" s="331"/>
      <c r="I59" s="179" t="str">
        <f>'F+T Translation'!B82&amp;":"</f>
        <v>Rast zunanjih temperatur v primerjavi z arhivskimi podatki:</v>
      </c>
      <c r="J59" s="642">
        <v>0.5</v>
      </c>
      <c r="K59" s="236" t="str">
        <f>Translation!C4</f>
        <v>K</v>
      </c>
      <c r="S59" s="232"/>
      <c r="T59" s="232"/>
      <c r="U59" s="232"/>
      <c r="V59" s="233"/>
      <c r="W59" s="234"/>
      <c r="X59" s="235"/>
      <c r="Y59" s="233"/>
      <c r="Z59" s="234"/>
      <c r="AA59" s="235"/>
    </row>
    <row r="60" spans="2:27" x14ac:dyDescent="0.25">
      <c r="B60" s="759"/>
      <c r="D60" s="173"/>
      <c r="E60" s="141"/>
      <c r="F60" s="141"/>
      <c r="G60" s="331"/>
      <c r="H60" s="331"/>
      <c r="I60" s="179" t="str">
        <f>'F+T Translation'!B76&amp;" ("&amp;Translation!C146&amp;"):"</f>
        <v>Delež toplotnih mostov (prej):</v>
      </c>
      <c r="J60" s="642">
        <v>3</v>
      </c>
      <c r="K60" s="236" t="s">
        <v>27</v>
      </c>
      <c r="S60" s="232"/>
      <c r="T60" s="232"/>
      <c r="U60" s="232"/>
      <c r="V60" s="233"/>
      <c r="W60" s="234"/>
      <c r="X60" s="235"/>
      <c r="Y60" s="233"/>
      <c r="Z60" s="234"/>
      <c r="AA60" s="235"/>
    </row>
    <row r="61" spans="2:27" x14ac:dyDescent="0.25">
      <c r="B61" s="759"/>
      <c r="D61" s="173"/>
      <c r="E61" s="141"/>
      <c r="F61" s="141"/>
      <c r="G61" s="331"/>
      <c r="H61" s="331"/>
      <c r="I61" s="179" t="str">
        <f>'F+T Translation'!B76&amp;" ("&amp;Translation!C147&amp;"):"</f>
        <v>Delež toplotnih mostov (potem):</v>
      </c>
      <c r="J61" s="642">
        <v>5</v>
      </c>
      <c r="K61" s="236" t="s">
        <v>27</v>
      </c>
      <c r="S61" s="232"/>
      <c r="T61" s="232"/>
      <c r="U61" s="232"/>
      <c r="V61" s="233"/>
      <c r="W61" s="234"/>
      <c r="X61" s="235"/>
      <c r="Y61" s="233"/>
      <c r="Z61" s="234"/>
      <c r="AA61" s="235"/>
    </row>
    <row r="62" spans="2:27" x14ac:dyDescent="0.25">
      <c r="B62" s="759"/>
      <c r="D62" s="173"/>
      <c r="E62" s="141"/>
      <c r="F62" s="141"/>
      <c r="G62" s="331"/>
      <c r="H62" s="331"/>
      <c r="I62" s="179" t="str">
        <f>'F+T Translation'!B85&amp;":"</f>
        <v>Povprečni faktor fiksnih senčil:</v>
      </c>
      <c r="J62" s="642">
        <v>0.5</v>
      </c>
      <c r="K62" s="236"/>
      <c r="S62" s="232"/>
      <c r="T62" s="232"/>
      <c r="U62" s="232"/>
      <c r="V62" s="233"/>
      <c r="W62" s="234"/>
      <c r="X62" s="235"/>
      <c r="Y62" s="233"/>
      <c r="Z62" s="234"/>
      <c r="AA62" s="235"/>
    </row>
    <row r="63" spans="2:27" x14ac:dyDescent="0.25">
      <c r="B63" s="759"/>
      <c r="D63" s="198"/>
      <c r="E63" s="214"/>
      <c r="F63" s="214"/>
      <c r="G63" s="331"/>
      <c r="H63" s="331"/>
      <c r="I63" s="179" t="str">
        <f>'F+T Translation'!B86&amp;" ("&amp;'F+T Translation'!B87&amp;"):"</f>
        <v>Toplotna kapaciteta (lahka struktura):</v>
      </c>
      <c r="J63" s="643">
        <v>110000</v>
      </c>
      <c r="K63" s="236" t="str">
        <f>Translation!C29&amp;"/"&amp;Translation!C7&amp;Translation!C4</f>
        <v>J/m²K</v>
      </c>
      <c r="S63" s="232"/>
      <c r="T63" s="232"/>
      <c r="U63" s="232"/>
      <c r="V63" s="233"/>
      <c r="W63" s="234"/>
      <c r="X63" s="235"/>
      <c r="Y63" s="233"/>
      <c r="Z63" s="234"/>
      <c r="AA63" s="235"/>
    </row>
    <row r="64" spans="2:27" x14ac:dyDescent="0.25">
      <c r="B64" s="759"/>
      <c r="D64" s="198"/>
      <c r="E64" s="214"/>
      <c r="F64" s="214"/>
      <c r="G64" s="331"/>
      <c r="H64" s="331"/>
      <c r="I64" s="179" t="str">
        <f>'F+T Translation'!B86&amp;" ("&amp;'F+T Translation'!B88&amp;"):"</f>
        <v>Toplotna kapaciteta (srednja struktura):</v>
      </c>
      <c r="J64" s="643">
        <v>165000</v>
      </c>
      <c r="K64" s="236" t="str">
        <f>Translation!C29&amp;"/"&amp;Translation!C7&amp;Translation!C4</f>
        <v>J/m²K</v>
      </c>
      <c r="S64" s="232"/>
      <c r="T64" s="232"/>
      <c r="U64" s="232"/>
      <c r="V64" s="233"/>
      <c r="W64" s="234"/>
      <c r="X64" s="235"/>
      <c r="Y64" s="233"/>
      <c r="Z64" s="234"/>
      <c r="AA64" s="235"/>
    </row>
    <row r="65" spans="2:27" x14ac:dyDescent="0.25">
      <c r="B65" s="759"/>
      <c r="D65" s="173"/>
      <c r="E65" s="141"/>
      <c r="F65" s="141"/>
      <c r="G65" s="331"/>
      <c r="H65" s="331"/>
      <c r="I65" s="179" t="str">
        <f>'F+T Translation'!B81&amp;":"</f>
        <v>Učinkovitost vračanja toplote:</v>
      </c>
      <c r="J65" s="642">
        <v>50</v>
      </c>
      <c r="K65" s="236" t="s">
        <v>27</v>
      </c>
      <c r="S65" s="232"/>
      <c r="T65" s="232"/>
      <c r="U65" s="232"/>
      <c r="V65" s="233"/>
      <c r="W65" s="234"/>
      <c r="X65" s="235"/>
      <c r="Y65" s="233"/>
      <c r="Z65" s="234"/>
      <c r="AA65" s="235"/>
    </row>
    <row r="66" spans="2:27" s="302" customFormat="1" x14ac:dyDescent="0.25">
      <c r="B66" s="759"/>
      <c r="D66" s="316"/>
      <c r="E66" s="315"/>
      <c r="F66" s="315"/>
      <c r="G66" s="331"/>
      <c r="H66" s="331"/>
      <c r="I66" s="179" t="str">
        <f>'F+T Translation'!B98&amp;":"</f>
        <v>Prihranki iz zamenjave svetil:</v>
      </c>
      <c r="J66" s="642">
        <v>38</v>
      </c>
      <c r="K66" s="236" t="s">
        <v>27</v>
      </c>
      <c r="S66" s="232"/>
      <c r="T66" s="232"/>
      <c r="U66" s="232"/>
      <c r="V66" s="233"/>
      <c r="W66" s="234"/>
      <c r="X66" s="235"/>
      <c r="Y66" s="233"/>
      <c r="Z66" s="234"/>
      <c r="AA66" s="235"/>
    </row>
    <row r="67" spans="2:27" s="302" customFormat="1" x14ac:dyDescent="0.25">
      <c r="B67" s="760"/>
      <c r="D67" s="316"/>
      <c r="E67" s="315"/>
      <c r="F67" s="315"/>
      <c r="G67" s="331"/>
      <c r="H67" s="331"/>
      <c r="I67" s="179" t="str">
        <f>'F+T Translation'!B99&amp;":"</f>
        <v>Prihranki iz vgradnje senzorjev:</v>
      </c>
      <c r="J67" s="642">
        <v>20</v>
      </c>
      <c r="K67" s="236" t="s">
        <v>27</v>
      </c>
      <c r="S67" s="232"/>
      <c r="T67" s="232"/>
      <c r="U67" s="232"/>
      <c r="V67" s="233"/>
      <c r="W67" s="234"/>
      <c r="X67" s="235"/>
      <c r="Y67" s="233"/>
      <c r="Z67" s="234"/>
      <c r="AA67" s="235"/>
    </row>
    <row r="68" spans="2:27" x14ac:dyDescent="0.25">
      <c r="S68" s="232"/>
      <c r="T68" s="232"/>
      <c r="U68" s="232"/>
      <c r="V68" s="233"/>
      <c r="W68" s="234"/>
      <c r="X68" s="235"/>
      <c r="Y68" s="233"/>
      <c r="Z68" s="234"/>
      <c r="AA68" s="235"/>
    </row>
    <row r="69" spans="2:27" x14ac:dyDescent="0.25">
      <c r="B69" s="757">
        <v>6</v>
      </c>
      <c r="D69" s="157"/>
      <c r="E69" s="141"/>
      <c r="F69" s="179" t="str">
        <f>'F+T Translation'!B49&amp;":"</f>
        <v>Do enega leta:</v>
      </c>
      <c r="G69" s="156">
        <v>1930</v>
      </c>
      <c r="H69" s="156">
        <v>1950</v>
      </c>
      <c r="I69" s="156">
        <v>1960</v>
      </c>
      <c r="J69" s="156">
        <v>1970</v>
      </c>
      <c r="K69" s="156">
        <v>1980</v>
      </c>
      <c r="L69" s="156">
        <v>1990</v>
      </c>
      <c r="M69" s="156">
        <v>2005</v>
      </c>
      <c r="N69" s="156">
        <v>2010</v>
      </c>
      <c r="O69" s="156" t="str">
        <f>"&gt; "&amp;N69</f>
        <v>&gt; 2010</v>
      </c>
      <c r="P69" s="156"/>
      <c r="V69" s="160"/>
    </row>
    <row r="70" spans="2:27" x14ac:dyDescent="0.25">
      <c r="B70" s="757"/>
      <c r="D70" s="157"/>
      <c r="E70" s="141"/>
      <c r="F70" s="179" t="str">
        <f>'F+T Translation'!B50&amp;":"</f>
        <v>Debelina sten:</v>
      </c>
      <c r="G70" s="630">
        <v>50</v>
      </c>
      <c r="H70" s="630">
        <v>50</v>
      </c>
      <c r="I70" s="630">
        <v>45</v>
      </c>
      <c r="J70" s="630">
        <v>45</v>
      </c>
      <c r="K70" s="630">
        <v>40</v>
      </c>
      <c r="L70" s="630">
        <v>40</v>
      </c>
      <c r="M70" s="630">
        <v>35</v>
      </c>
      <c r="N70" s="630">
        <v>40</v>
      </c>
      <c r="O70" s="630">
        <v>45</v>
      </c>
      <c r="P70" s="271" t="str">
        <f>Translation!C8</f>
        <v>cm</v>
      </c>
      <c r="Q70" s="176"/>
    </row>
    <row r="71" spans="2:27" x14ac:dyDescent="0.25">
      <c r="B71" s="757"/>
      <c r="D71" s="173"/>
      <c r="E71" s="141"/>
      <c r="F71" s="179" t="str">
        <f>'F+T Translation'!B57&amp;":"</f>
        <v>Povprečna površina oken:</v>
      </c>
      <c r="G71" s="635">
        <v>10</v>
      </c>
      <c r="H71" s="635">
        <v>12.5</v>
      </c>
      <c r="I71" s="635">
        <v>12.5</v>
      </c>
      <c r="J71" s="635">
        <v>15</v>
      </c>
      <c r="K71" s="635">
        <v>18</v>
      </c>
      <c r="L71" s="635">
        <v>18</v>
      </c>
      <c r="M71" s="635">
        <v>20</v>
      </c>
      <c r="N71" s="635">
        <v>25</v>
      </c>
      <c r="O71" s="635">
        <v>25</v>
      </c>
      <c r="P71" s="239" t="s">
        <v>27</v>
      </c>
      <c r="Q71" s="726" t="str">
        <f>'F+T Translation'!B74</f>
        <v>Vrednosti za obnovo (glede na temperaturni primankljaj)</v>
      </c>
      <c r="R71" s="726"/>
      <c r="S71" s="726"/>
      <c r="T71" s="726"/>
      <c r="U71" s="726"/>
      <c r="V71" s="726"/>
      <c r="W71" s="726"/>
      <c r="X71" s="726"/>
      <c r="Y71" s="749"/>
    </row>
    <row r="72" spans="2:27" x14ac:dyDescent="0.25">
      <c r="B72" s="757"/>
      <c r="D72" s="157"/>
      <c r="E72" s="141"/>
      <c r="F72" s="179" t="str">
        <f>'F+T Translation'!B83&amp;":"</f>
        <v>Delež okvirjev na celotni površini oken:</v>
      </c>
      <c r="G72" s="635">
        <v>25</v>
      </c>
      <c r="H72" s="635">
        <v>30</v>
      </c>
      <c r="I72" s="635">
        <v>30</v>
      </c>
      <c r="J72" s="635">
        <v>30</v>
      </c>
      <c r="K72" s="635">
        <v>25</v>
      </c>
      <c r="L72" s="635">
        <v>25</v>
      </c>
      <c r="M72" s="635">
        <v>30</v>
      </c>
      <c r="N72" s="635">
        <v>30</v>
      </c>
      <c r="O72" s="635">
        <v>30</v>
      </c>
      <c r="P72" s="239" t="s">
        <v>27</v>
      </c>
      <c r="Q72" s="142" t="str">
        <f>D23</f>
        <v>A</v>
      </c>
      <c r="R72" s="172" t="str">
        <f>D24</f>
        <v>B</v>
      </c>
      <c r="S72" s="172" t="str">
        <f>D25</f>
        <v>C</v>
      </c>
      <c r="T72" s="172" t="str">
        <f>D26</f>
        <v>D</v>
      </c>
      <c r="U72" s="172" t="str">
        <f>D27</f>
        <v>E</v>
      </c>
      <c r="V72" s="172" t="str">
        <f>D28</f>
        <v>F1</v>
      </c>
      <c r="W72" s="172" t="str">
        <f>D29</f>
        <v>F2</v>
      </c>
      <c r="X72" s="172" t="str">
        <f>D30</f>
        <v>F3</v>
      </c>
      <c r="Y72" s="178"/>
    </row>
    <row r="73" spans="2:27" x14ac:dyDescent="0.25">
      <c r="B73" s="757"/>
      <c r="D73" s="173"/>
      <c r="E73" s="141"/>
      <c r="F73" s="179" t="str">
        <f>'F+T Translation'!$B$68&amp;" ("&amp;'F+T Translation'!B69&amp;"):"</f>
        <v>Toplotna prehodnost U (stene):</v>
      </c>
      <c r="G73" s="628">
        <v>1.4</v>
      </c>
      <c r="H73" s="628">
        <v>1.2</v>
      </c>
      <c r="I73" s="628">
        <v>1.2</v>
      </c>
      <c r="J73" s="628">
        <v>0.9</v>
      </c>
      <c r="K73" s="628">
        <v>0.9</v>
      </c>
      <c r="L73" s="628">
        <v>0.8</v>
      </c>
      <c r="M73" s="628">
        <v>0.65</v>
      </c>
      <c r="N73" s="628">
        <v>0.4</v>
      </c>
      <c r="O73" s="628">
        <v>0.35</v>
      </c>
      <c r="P73" s="239" t="str">
        <f>Translation!$C$26</f>
        <v>W/m²K</v>
      </c>
      <c r="Q73" s="645">
        <v>0.4</v>
      </c>
      <c r="R73" s="628">
        <v>0.4</v>
      </c>
      <c r="S73" s="628">
        <v>0.36</v>
      </c>
      <c r="T73" s="628">
        <v>0.32</v>
      </c>
      <c r="U73" s="628">
        <v>0.28000000000000003</v>
      </c>
      <c r="V73" s="628">
        <v>0.26</v>
      </c>
      <c r="W73" s="628">
        <f>V73</f>
        <v>0.26</v>
      </c>
      <c r="X73" s="628">
        <f>W73</f>
        <v>0.26</v>
      </c>
      <c r="Y73" s="178" t="str">
        <f>Translation!$C$26</f>
        <v>W/m²K</v>
      </c>
    </row>
    <row r="74" spans="2:27" x14ac:dyDescent="0.25">
      <c r="B74" s="757"/>
      <c r="D74" s="173"/>
      <c r="E74" s="141"/>
      <c r="F74" s="179" t="str">
        <f>'F+T Translation'!$B$68&amp;" ("&amp;'F+T Translation'!B70&amp;"):"</f>
        <v>Toplotna prehodnost U (kletna etaža):</v>
      </c>
      <c r="G74" s="628">
        <v>1</v>
      </c>
      <c r="H74" s="628">
        <v>1</v>
      </c>
      <c r="I74" s="628">
        <v>1</v>
      </c>
      <c r="J74" s="628">
        <v>0.8</v>
      </c>
      <c r="K74" s="628">
        <v>0.8</v>
      </c>
      <c r="L74" s="628">
        <v>0.8</v>
      </c>
      <c r="M74" s="628">
        <v>0.8</v>
      </c>
      <c r="N74" s="628">
        <v>0.7</v>
      </c>
      <c r="O74" s="628">
        <v>0.4</v>
      </c>
      <c r="P74" s="239" t="str">
        <f>Translation!$C$26</f>
        <v>W/m²K</v>
      </c>
      <c r="Q74" s="645">
        <v>0.42</v>
      </c>
      <c r="R74" s="628">
        <v>0.42</v>
      </c>
      <c r="S74" s="628">
        <v>0.38</v>
      </c>
      <c r="T74" s="628">
        <v>0.32</v>
      </c>
      <c r="U74" s="628">
        <v>0.28999999999999998</v>
      </c>
      <c r="V74" s="628">
        <v>0.28000000000000003</v>
      </c>
      <c r="W74" s="628">
        <f t="shared" ref="W74:X74" si="7">V74</f>
        <v>0.28000000000000003</v>
      </c>
      <c r="X74" s="628">
        <f t="shared" si="7"/>
        <v>0.28000000000000003</v>
      </c>
      <c r="Y74" s="178" t="str">
        <f>Translation!$C$26</f>
        <v>W/m²K</v>
      </c>
    </row>
    <row r="75" spans="2:27" x14ac:dyDescent="0.25">
      <c r="B75" s="757"/>
      <c r="D75" s="173"/>
      <c r="E75" s="141"/>
      <c r="F75" s="179" t="str">
        <f>'F+T Translation'!$B$68&amp;" ("&amp;'F+T Translation'!B71&amp;"):"</f>
        <v>Toplotna prehodnost U (streha):</v>
      </c>
      <c r="G75" s="628">
        <v>1.4</v>
      </c>
      <c r="H75" s="628">
        <v>1.2</v>
      </c>
      <c r="I75" s="628">
        <v>1</v>
      </c>
      <c r="J75" s="628">
        <v>1</v>
      </c>
      <c r="K75" s="628">
        <v>0.9</v>
      </c>
      <c r="L75" s="628">
        <v>0.9</v>
      </c>
      <c r="M75" s="628">
        <v>0.8</v>
      </c>
      <c r="N75" s="628">
        <v>0.7</v>
      </c>
      <c r="O75" s="628">
        <v>0.4</v>
      </c>
      <c r="P75" s="239" t="str">
        <f>Translation!$C$26</f>
        <v>W/m²K</v>
      </c>
      <c r="Q75" s="645">
        <v>0.32</v>
      </c>
      <c r="R75" s="628">
        <v>0.32</v>
      </c>
      <c r="S75" s="628">
        <v>0.32</v>
      </c>
      <c r="T75" s="628">
        <v>0.26</v>
      </c>
      <c r="U75" s="628">
        <v>0.24</v>
      </c>
      <c r="V75" s="628">
        <v>0.22</v>
      </c>
      <c r="W75" s="628">
        <f t="shared" ref="W75:X75" si="8">V75</f>
        <v>0.22</v>
      </c>
      <c r="X75" s="628">
        <f t="shared" si="8"/>
        <v>0.22</v>
      </c>
      <c r="Y75" s="178" t="str">
        <f>Translation!$C$26</f>
        <v>W/m²K</v>
      </c>
    </row>
    <row r="76" spans="2:27" x14ac:dyDescent="0.25">
      <c r="B76" s="757"/>
      <c r="D76" s="175"/>
      <c r="E76" s="177"/>
      <c r="F76" s="179" t="str">
        <f>'F+T Translation'!$B$68&amp;" ("&amp;'F+T Translation'!B72&amp;"):"</f>
        <v>Toplotna prehodnost U (okna):</v>
      </c>
      <c r="G76" s="644">
        <v>4.5</v>
      </c>
      <c r="H76" s="644">
        <v>3.5</v>
      </c>
      <c r="I76" s="644">
        <v>3.5</v>
      </c>
      <c r="J76" s="644">
        <v>3.5</v>
      </c>
      <c r="K76" s="644">
        <v>3</v>
      </c>
      <c r="L76" s="644">
        <v>2.8</v>
      </c>
      <c r="M76" s="644">
        <v>2</v>
      </c>
      <c r="N76" s="644">
        <v>1.8</v>
      </c>
      <c r="O76" s="644">
        <v>1.5</v>
      </c>
      <c r="P76" s="239" t="str">
        <f>Translation!$C$26</f>
        <v>W/m²K</v>
      </c>
      <c r="Q76" s="645">
        <v>3</v>
      </c>
      <c r="R76" s="628">
        <v>3</v>
      </c>
      <c r="S76" s="628">
        <v>2</v>
      </c>
      <c r="T76" s="628">
        <v>1.8</v>
      </c>
      <c r="U76" s="628">
        <v>1.4</v>
      </c>
      <c r="V76" s="628">
        <v>1</v>
      </c>
      <c r="W76" s="628">
        <f t="shared" ref="W76:X77" si="9">V76</f>
        <v>1</v>
      </c>
      <c r="X76" s="628">
        <f t="shared" si="9"/>
        <v>1</v>
      </c>
      <c r="Y76" s="178" t="str">
        <f>Translation!$C$26</f>
        <v>W/m²K</v>
      </c>
    </row>
    <row r="77" spans="2:27" x14ac:dyDescent="0.25">
      <c r="B77" s="757"/>
      <c r="D77" s="175"/>
      <c r="E77" s="177"/>
      <c r="F77" s="179" t="str">
        <f>'F+T Translation'!B84&amp;":"</f>
        <v>g - vrednost:</v>
      </c>
      <c r="G77" s="628">
        <v>0.8</v>
      </c>
      <c r="H77" s="628">
        <v>0.75</v>
      </c>
      <c r="I77" s="628">
        <v>0.75</v>
      </c>
      <c r="J77" s="628">
        <v>0.75</v>
      </c>
      <c r="K77" s="628">
        <v>0.75</v>
      </c>
      <c r="L77" s="628">
        <v>0.75</v>
      </c>
      <c r="M77" s="628">
        <v>0.7</v>
      </c>
      <c r="N77" s="628">
        <v>0.67</v>
      </c>
      <c r="O77" s="628">
        <v>0.62</v>
      </c>
      <c r="P77" s="271" t="s">
        <v>290</v>
      </c>
      <c r="Q77" s="627">
        <v>0.65</v>
      </c>
      <c r="R77" s="628">
        <v>0.65</v>
      </c>
      <c r="S77" s="628">
        <v>0.62</v>
      </c>
      <c r="T77" s="628">
        <v>0.62</v>
      </c>
      <c r="U77" s="628">
        <v>0.55000000000000004</v>
      </c>
      <c r="V77" s="628">
        <v>0.45</v>
      </c>
      <c r="W77" s="628">
        <f t="shared" si="9"/>
        <v>0.45</v>
      </c>
      <c r="X77" s="628">
        <f t="shared" si="9"/>
        <v>0.45</v>
      </c>
      <c r="Y77" s="272" t="s">
        <v>290</v>
      </c>
    </row>
    <row r="78" spans="2:27" x14ac:dyDescent="0.25">
      <c r="B78" s="757"/>
      <c r="D78" s="173"/>
      <c r="E78" s="141"/>
      <c r="F78" s="141"/>
      <c r="G78" s="141"/>
      <c r="H78" s="141"/>
      <c r="I78" s="141"/>
      <c r="J78" s="141"/>
      <c r="K78" s="141"/>
      <c r="L78" s="141"/>
      <c r="M78" s="141"/>
      <c r="N78" s="141"/>
      <c r="O78" s="141"/>
      <c r="P78" s="179" t="str">
        <f>'F+T Translation'!$B$68&amp;" ("&amp;'F+T Translation'!B75&amp;"):"</f>
        <v>Toplotna prehodnost U (Stene z notranjo izolacijo):</v>
      </c>
      <c r="Q78" s="628">
        <f>Q73*1.2</f>
        <v>0.48</v>
      </c>
      <c r="R78" s="628">
        <f t="shared" ref="R78:V78" si="10">R73*1.2</f>
        <v>0.48</v>
      </c>
      <c r="S78" s="628">
        <f t="shared" si="10"/>
        <v>0.432</v>
      </c>
      <c r="T78" s="628">
        <f t="shared" si="10"/>
        <v>0.38400000000000001</v>
      </c>
      <c r="U78" s="628">
        <f t="shared" si="10"/>
        <v>0.33600000000000002</v>
      </c>
      <c r="V78" s="628">
        <f t="shared" si="10"/>
        <v>0.312</v>
      </c>
      <c r="W78" s="628">
        <f t="shared" ref="W78:X78" si="11">V78</f>
        <v>0.312</v>
      </c>
      <c r="X78" s="628">
        <f t="shared" si="11"/>
        <v>0.312</v>
      </c>
      <c r="Y78" s="178" t="str">
        <f>Translation!$C$26</f>
        <v>W/m²K</v>
      </c>
    </row>
    <row r="80" spans="2:27" ht="36.75" customHeight="1" x14ac:dyDescent="0.25">
      <c r="B80" s="757">
        <v>7</v>
      </c>
      <c r="D80" s="306"/>
      <c r="E80" s="311"/>
      <c r="F80" s="311"/>
      <c r="G80" s="303"/>
      <c r="H80" s="304"/>
      <c r="I80" s="227" t="str">
        <f>IF(VLOOKUP(I81,'2'!$B$92:$C$97,2,FALSE)="","",VLOOKUP(I81,'2'!$B$92:$C$97,2,FALSE))</f>
        <v>Šola</v>
      </c>
      <c r="J80" s="227" t="str">
        <f>IF(VLOOKUP(J81,'2'!$B$92:$C$97,2,FALSE)="","",VLOOKUP(J81,'2'!$B$92:$C$97,2,FALSE))</f>
        <v>Telovadnica</v>
      </c>
      <c r="K80" s="227" t="str">
        <f>IF(VLOOKUP(K81,'2'!$B$92:$C$97,2,FALSE)="","",VLOOKUP(K81,'2'!$B$92:$C$97,2,FALSE))</f>
        <v>Pisarne</v>
      </c>
      <c r="L80" s="227" t="str">
        <f>IF(VLOOKUP(L81,'2'!$B$92:$C$97,2,FALSE)="","",VLOOKUP(L81,'2'!$B$92:$C$97,2,FALSE))</f>
        <v>Zdravstvena ustanova</v>
      </c>
      <c r="M80" s="227" t="str">
        <f>IF(VLOOKUP(M81,'2'!$B$92:$C$97,2,FALSE)="","",VLOOKUP(M81,'2'!$B$92:$C$97,2,FALSE))</f>
        <v/>
      </c>
      <c r="N80" s="227" t="str">
        <f>IF(VLOOKUP(N81,'2'!$B$92:$C$97,2,FALSE)="","",VLOOKUP(N81,'2'!$B$92:$C$97,2,FALSE))</f>
        <v/>
      </c>
      <c r="O80" s="305"/>
    </row>
    <row r="81" spans="2:15" s="226" customFormat="1" x14ac:dyDescent="0.25">
      <c r="B81" s="757"/>
      <c r="D81" s="228"/>
      <c r="E81" s="229"/>
      <c r="F81" s="229"/>
      <c r="G81" s="229"/>
      <c r="H81" s="179" t="str">
        <f>'2'!B91&amp;":"</f>
        <v>Vrsta stavbe:</v>
      </c>
      <c r="I81" s="227">
        <f>'2'!F92</f>
        <v>1</v>
      </c>
      <c r="J81" s="227">
        <f>'2'!F93</f>
        <v>2</v>
      </c>
      <c r="K81" s="227">
        <f>'2'!F94</f>
        <v>3</v>
      </c>
      <c r="L81" s="227">
        <f>'2'!F95</f>
        <v>4</v>
      </c>
      <c r="M81" s="227">
        <f>'2'!F96</f>
        <v>5</v>
      </c>
      <c r="N81" s="227">
        <f>'2'!F97</f>
        <v>6</v>
      </c>
      <c r="O81" s="227"/>
    </row>
    <row r="82" spans="2:15" x14ac:dyDescent="0.25">
      <c r="B82" s="757"/>
      <c r="D82" s="173"/>
      <c r="E82" s="311"/>
      <c r="F82" s="311"/>
      <c r="G82" s="141"/>
      <c r="H82" s="179" t="str">
        <f>'F+T Translation'!B78&amp;":"</f>
        <v>Notranja temperatura:</v>
      </c>
      <c r="I82" s="628">
        <v>20</v>
      </c>
      <c r="J82" s="628">
        <v>18</v>
      </c>
      <c r="K82" s="628">
        <v>20</v>
      </c>
      <c r="L82" s="628">
        <v>20</v>
      </c>
      <c r="M82" s="628"/>
      <c r="N82" s="628"/>
      <c r="O82" s="178" t="str">
        <f>Translation!C27</f>
        <v>°C</v>
      </c>
    </row>
    <row r="83" spans="2:15" x14ac:dyDescent="0.25">
      <c r="B83" s="757"/>
      <c r="D83" s="173"/>
      <c r="E83" s="311"/>
      <c r="F83" s="311"/>
      <c r="G83" s="141"/>
      <c r="H83" s="179" t="str">
        <f>'F+T Translation'!B77&amp;":"</f>
        <v>Prezračevanje (izmenjava zraka/h):</v>
      </c>
      <c r="I83" s="628">
        <v>0.5</v>
      </c>
      <c r="J83" s="628">
        <v>0.5</v>
      </c>
      <c r="K83" s="628">
        <v>0.5</v>
      </c>
      <c r="L83" s="628">
        <v>0.8</v>
      </c>
      <c r="M83" s="628"/>
      <c r="N83" s="628"/>
      <c r="O83" s="178" t="str">
        <f>'T-Calc option A'!O52</f>
        <v>1/h</v>
      </c>
    </row>
    <row r="84" spans="2:15" x14ac:dyDescent="0.25">
      <c r="B84" s="757"/>
      <c r="D84" s="173"/>
      <c r="E84" s="311"/>
      <c r="F84" s="311"/>
      <c r="G84" s="141"/>
      <c r="H84" s="179" t="str">
        <f>'F+T Translation'!B79&amp;":"</f>
        <v>Notranji toplotni dobitki:</v>
      </c>
      <c r="I84" s="635">
        <v>4</v>
      </c>
      <c r="J84" s="635">
        <v>5</v>
      </c>
      <c r="K84" s="635">
        <v>6</v>
      </c>
      <c r="L84" s="635">
        <v>8</v>
      </c>
      <c r="M84" s="630"/>
      <c r="N84" s="630"/>
      <c r="O84" s="178" t="str">
        <f>Translation!C13&amp;"/"&amp;Translation!C7</f>
        <v>W/m²</v>
      </c>
    </row>
    <row r="85" spans="2:15" s="302" customFormat="1" x14ac:dyDescent="0.25">
      <c r="B85" s="757"/>
      <c r="D85" s="312"/>
      <c r="E85" s="311"/>
      <c r="F85" s="311"/>
      <c r="G85" s="311"/>
      <c r="H85" s="179" t="str">
        <f>'F+T Translation'!B94&amp;":"</f>
        <v>Delež TSV pri porabi toplotne energije:</v>
      </c>
      <c r="I85" s="635">
        <v>0.5</v>
      </c>
      <c r="J85" s="635">
        <v>15</v>
      </c>
      <c r="K85" s="635">
        <v>3</v>
      </c>
      <c r="L85" s="635">
        <v>25</v>
      </c>
      <c r="M85" s="635"/>
      <c r="N85" s="635"/>
      <c r="O85" s="178" t="s">
        <v>27</v>
      </c>
    </row>
    <row r="86" spans="2:15" s="302" customFormat="1" x14ac:dyDescent="0.25">
      <c r="B86" s="757"/>
      <c r="D86" s="312"/>
      <c r="E86" s="311"/>
      <c r="F86" s="311"/>
      <c r="G86" s="311"/>
      <c r="H86" s="179" t="str">
        <f>'F+T Translation'!B95&amp;":"</f>
        <v>Delež razsvetljave pri porabi električne energije:</v>
      </c>
      <c r="I86" s="635">
        <v>60</v>
      </c>
      <c r="J86" s="635">
        <v>40</v>
      </c>
      <c r="K86" s="635">
        <v>50</v>
      </c>
      <c r="L86" s="635">
        <v>40</v>
      </c>
      <c r="M86" s="635"/>
      <c r="N86" s="635"/>
      <c r="O86" s="178" t="s">
        <v>27</v>
      </c>
    </row>
    <row r="87" spans="2:15" s="302" customFormat="1" x14ac:dyDescent="0.25">
      <c r="B87" s="757"/>
      <c r="D87" s="316"/>
      <c r="E87" s="315"/>
      <c r="F87" s="315"/>
      <c r="G87" s="315"/>
      <c r="H87" s="179" t="str">
        <f>'F+T Translation'!B96&amp;":"</f>
        <v>Lastna elektrike iz FV - toplotna črpalka:</v>
      </c>
      <c r="I87" s="635">
        <v>50</v>
      </c>
      <c r="J87" s="635">
        <v>50</v>
      </c>
      <c r="K87" s="635">
        <v>50</v>
      </c>
      <c r="L87" s="635">
        <v>50</v>
      </c>
      <c r="M87" s="635"/>
      <c r="N87" s="635"/>
      <c r="O87" s="178" t="s">
        <v>27</v>
      </c>
    </row>
    <row r="88" spans="2:15" s="302" customFormat="1" x14ac:dyDescent="0.25">
      <c r="B88" s="757"/>
      <c r="D88" s="316"/>
      <c r="E88" s="315"/>
      <c r="F88" s="315"/>
      <c r="G88" s="315"/>
      <c r="H88" s="179" t="str">
        <f>'F+T Translation'!B97&amp;":"</f>
        <v>Lastna elektrike iz FV - drugo:</v>
      </c>
      <c r="I88" s="635">
        <v>25</v>
      </c>
      <c r="J88" s="635">
        <v>25</v>
      </c>
      <c r="K88" s="635">
        <v>35</v>
      </c>
      <c r="L88" s="635">
        <v>35</v>
      </c>
      <c r="M88" s="635"/>
      <c r="N88" s="635"/>
      <c r="O88" s="178" t="s">
        <v>27</v>
      </c>
    </row>
    <row r="90" spans="2:15" ht="40.5" customHeight="1" x14ac:dyDescent="0.25">
      <c r="B90" s="757">
        <v>8</v>
      </c>
      <c r="D90" s="306"/>
      <c r="E90" s="303"/>
      <c r="F90" s="304"/>
      <c r="G90" s="305"/>
      <c r="H90" s="227" t="str">
        <f>'F+T Translation'!B66</f>
        <v>Pred posegom</v>
      </c>
      <c r="I90" s="227" t="str">
        <f>'F+T Translation'!B67</f>
        <v>Po posegu</v>
      </c>
      <c r="J90" s="302"/>
      <c r="K90" s="302"/>
    </row>
    <row r="91" spans="2:15" ht="14.25" x14ac:dyDescent="0.25">
      <c r="B91" s="757"/>
      <c r="D91" s="198"/>
      <c r="E91" s="214"/>
      <c r="F91" s="179" t="str">
        <f>'F+T Translation'!B89&amp;":"</f>
        <v>Učinkovitost - sevalne izgube:</v>
      </c>
      <c r="G91" s="275" t="s">
        <v>471</v>
      </c>
      <c r="H91" s="630">
        <v>0.91</v>
      </c>
      <c r="I91" s="630">
        <v>0.95</v>
      </c>
      <c r="J91" s="302"/>
      <c r="K91" s="302"/>
    </row>
    <row r="92" spans="2:15" ht="14.25" x14ac:dyDescent="0.25">
      <c r="B92" s="757"/>
      <c r="D92" s="198"/>
      <c r="E92" s="214"/>
      <c r="F92" s="179" t="str">
        <f>'F+T Translation'!B93&amp;":"</f>
        <v>Zmanjšanje za telovadnice:</v>
      </c>
      <c r="G92" s="275" t="s">
        <v>471</v>
      </c>
      <c r="H92" s="630">
        <v>-0.02</v>
      </c>
      <c r="I92" s="630">
        <v>-0.02</v>
      </c>
      <c r="J92" s="302"/>
      <c r="K92" s="302"/>
    </row>
    <row r="93" spans="2:15" ht="14.25" customHeight="1" x14ac:dyDescent="0.25">
      <c r="B93" s="757"/>
      <c r="D93" s="198"/>
      <c r="E93" s="214"/>
      <c r="F93" s="179" t="str">
        <f>'F+T Translation'!B90&amp;":"</f>
        <v>Učinkovitost - regulacija:</v>
      </c>
      <c r="G93" s="250" t="s">
        <v>472</v>
      </c>
      <c r="H93" s="630">
        <v>0.93</v>
      </c>
      <c r="I93" s="630">
        <v>0.97</v>
      </c>
      <c r="J93" s="302"/>
      <c r="K93" s="302"/>
    </row>
    <row r="94" spans="2:15" ht="14.25" customHeight="1" x14ac:dyDescent="0.25">
      <c r="B94" s="757"/>
      <c r="D94" s="198"/>
      <c r="E94" s="214"/>
      <c r="F94" s="179" t="str">
        <f>'F+T Translation'!B91&amp;":"</f>
        <v>Učinkovitost - distribucija:</v>
      </c>
      <c r="G94" s="250" t="s">
        <v>473</v>
      </c>
      <c r="H94" s="630">
        <v>0.93</v>
      </c>
      <c r="I94" s="630">
        <v>0.95</v>
      </c>
      <c r="J94" s="302"/>
      <c r="K94" s="302"/>
    </row>
    <row r="96" spans="2:15" s="302" customFormat="1" x14ac:dyDescent="0.25">
      <c r="B96" s="757">
        <v>9</v>
      </c>
      <c r="D96" s="753" t="str">
        <f>Translation!C148</f>
        <v>PARAMETERI ZA FINANČNI IZRAČUN</v>
      </c>
      <c r="E96" s="753"/>
      <c r="F96" s="753"/>
      <c r="G96" s="753"/>
      <c r="H96" s="753"/>
      <c r="I96" s="753"/>
      <c r="J96" s="753"/>
      <c r="K96" s="753"/>
    </row>
    <row r="97" spans="2:30" x14ac:dyDescent="0.25">
      <c r="B97" s="757"/>
      <c r="D97" s="332"/>
      <c r="E97" s="331"/>
      <c r="F97" s="331"/>
      <c r="G97" s="331"/>
      <c r="H97" s="331"/>
      <c r="I97" s="179" t="str">
        <f>'F+T Translation'!B102&amp;":"</f>
        <v>Zvišanje povprečne zunanje temperature v 20 letih:</v>
      </c>
      <c r="J97" s="646">
        <v>0.7</v>
      </c>
      <c r="K97" s="236" t="str">
        <f>Translation!C4</f>
        <v>K</v>
      </c>
    </row>
    <row r="98" spans="2:30" s="302" customFormat="1" x14ac:dyDescent="0.25">
      <c r="B98" s="757"/>
      <c r="D98" s="566"/>
      <c r="E98" s="567"/>
      <c r="F98" s="567"/>
      <c r="G98" s="567"/>
      <c r="H98" s="567"/>
      <c r="I98" s="179" t="str">
        <f>'F+T Translation'!B103&amp;":"</f>
        <v>Korekcijski faktor porabe:</v>
      </c>
      <c r="J98" s="646">
        <v>0.75</v>
      </c>
      <c r="K98" s="236"/>
    </row>
    <row r="99" spans="2:30" x14ac:dyDescent="0.25">
      <c r="B99" s="757"/>
      <c r="D99" s="340"/>
      <c r="E99" s="339"/>
      <c r="F99" s="339"/>
      <c r="G99" s="339"/>
      <c r="H99" s="339"/>
      <c r="I99" s="377" t="str">
        <f>'F+T Translation'!B110&amp;":"</f>
        <v>Današnji datum:</v>
      </c>
      <c r="J99" s="652">
        <f ca="1">TODAY()</f>
        <v>43234</v>
      </c>
      <c r="K99" s="224"/>
    </row>
    <row r="100" spans="2:30" x14ac:dyDescent="0.25">
      <c r="B100" s="757"/>
      <c r="D100" s="176"/>
      <c r="E100" s="378"/>
      <c r="F100" s="378"/>
      <c r="G100" s="378"/>
      <c r="H100" s="378"/>
      <c r="I100" s="379" t="str">
        <f>'F+T Translation'!B106&amp;":"</f>
        <v>Začetek posojila:</v>
      </c>
      <c r="J100" s="652">
        <f ca="1">DATE(YEAR(J99)+1,1,1)</f>
        <v>43466</v>
      </c>
      <c r="K100" s="224"/>
    </row>
    <row r="102" spans="2:30" x14ac:dyDescent="0.25">
      <c r="B102" s="757">
        <v>10</v>
      </c>
      <c r="E102" s="302"/>
      <c r="I102" s="753" t="str">
        <f>'F+T Translation'!B111</f>
        <v>IZRAČUN ODBITNIH OBRESTI</v>
      </c>
      <c r="J102" s="753"/>
      <c r="K102" s="753"/>
      <c r="L102" s="753"/>
      <c r="M102" s="753"/>
      <c r="N102" s="753"/>
      <c r="O102" s="753"/>
      <c r="P102" s="753"/>
      <c r="Q102" s="753"/>
      <c r="R102" s="753"/>
      <c r="S102" s="753"/>
      <c r="T102" s="753"/>
      <c r="U102" s="753"/>
      <c r="V102" s="753"/>
      <c r="W102" s="753"/>
      <c r="X102" s="753"/>
      <c r="Y102" s="753"/>
      <c r="Z102" s="753"/>
      <c r="AA102" s="753"/>
      <c r="AB102" s="753"/>
    </row>
    <row r="103" spans="2:30" x14ac:dyDescent="0.25">
      <c r="B103" s="757"/>
      <c r="D103" s="302"/>
      <c r="E103" s="302"/>
      <c r="F103" s="302"/>
      <c r="I103" s="401">
        <f>'6 PEF'!K53</f>
        <v>1</v>
      </c>
      <c r="J103" s="401">
        <f>'6 PEF'!L53</f>
        <v>2</v>
      </c>
      <c r="K103" s="401">
        <f>'6 PEF'!M53</f>
        <v>3</v>
      </c>
      <c r="L103" s="401">
        <f>'6 PEF'!N53</f>
        <v>4</v>
      </c>
      <c r="M103" s="401">
        <f>'6 PEF'!O53</f>
        <v>5</v>
      </c>
      <c r="N103" s="401">
        <f>'6 PEF'!P53</f>
        <v>6</v>
      </c>
      <c r="O103" s="401">
        <f>'6 PEF'!Q53</f>
        <v>7</v>
      </c>
      <c r="P103" s="401">
        <f>'6 PEF'!R53</f>
        <v>8</v>
      </c>
      <c r="Q103" s="401">
        <f>'6 PEF'!S53</f>
        <v>9</v>
      </c>
      <c r="R103" s="401">
        <f>'6 PEF'!T53</f>
        <v>10</v>
      </c>
      <c r="S103" s="401">
        <f>'6 PEF'!U53</f>
        <v>11</v>
      </c>
      <c r="T103" s="401">
        <f>'6 PEF'!V53</f>
        <v>12</v>
      </c>
      <c r="U103" s="401">
        <f>'6 PEF'!W53</f>
        <v>13</v>
      </c>
      <c r="V103" s="401">
        <f>'6 PEF'!X53</f>
        <v>14</v>
      </c>
      <c r="W103" s="401">
        <f>'6 PEF'!Y53</f>
        <v>15</v>
      </c>
      <c r="X103" s="401">
        <f>'6 PEF'!Z53</f>
        <v>16</v>
      </c>
      <c r="Y103" s="401">
        <f>'6 PEF'!AA53</f>
        <v>17</v>
      </c>
      <c r="Z103" s="401">
        <f>'6 PEF'!AB53</f>
        <v>18</v>
      </c>
      <c r="AA103" s="401">
        <f>'6 PEF'!AC53</f>
        <v>19</v>
      </c>
      <c r="AB103" s="401">
        <f>'6 PEF'!AD53</f>
        <v>20</v>
      </c>
      <c r="AC103" s="302"/>
      <c r="AD103" s="302"/>
    </row>
    <row r="104" spans="2:30" x14ac:dyDescent="0.25">
      <c r="B104" s="757"/>
      <c r="D104" s="302"/>
      <c r="E104" s="302"/>
      <c r="F104" s="302"/>
      <c r="I104" s="467">
        <f ca="1">'6 PEF'!K54</f>
        <v>2019</v>
      </c>
      <c r="J104" s="401">
        <f ca="1">'6 PEF'!L54</f>
        <v>2020</v>
      </c>
      <c r="K104" s="401">
        <f ca="1">'6 PEF'!M54</f>
        <v>2021</v>
      </c>
      <c r="L104" s="401">
        <f ca="1">'6 PEF'!N54</f>
        <v>2022</v>
      </c>
      <c r="M104" s="401">
        <f ca="1">'6 PEF'!O54</f>
        <v>2023</v>
      </c>
      <c r="N104" s="401">
        <f ca="1">'6 PEF'!P54</f>
        <v>2024</v>
      </c>
      <c r="O104" s="401">
        <f ca="1">'6 PEF'!Q54</f>
        <v>2025</v>
      </c>
      <c r="P104" s="401">
        <f ca="1">'6 PEF'!R54</f>
        <v>2026</v>
      </c>
      <c r="Q104" s="401">
        <f ca="1">'6 PEF'!S54</f>
        <v>2027</v>
      </c>
      <c r="R104" s="401">
        <f ca="1">'6 PEF'!T54</f>
        <v>2028</v>
      </c>
      <c r="S104" s="401">
        <f ca="1">'6 PEF'!U54</f>
        <v>2029</v>
      </c>
      <c r="T104" s="401">
        <f ca="1">'6 PEF'!V54</f>
        <v>2030</v>
      </c>
      <c r="U104" s="401">
        <f ca="1">'6 PEF'!W54</f>
        <v>2031</v>
      </c>
      <c r="V104" s="401">
        <f ca="1">'6 PEF'!X54</f>
        <v>2032</v>
      </c>
      <c r="W104" s="401">
        <f ca="1">'6 PEF'!Y54</f>
        <v>2033</v>
      </c>
      <c r="X104" s="401">
        <f ca="1">'6 PEF'!Z54</f>
        <v>2034</v>
      </c>
      <c r="Y104" s="401">
        <f ca="1">'6 PEF'!AA54</f>
        <v>2035</v>
      </c>
      <c r="Z104" s="401">
        <f ca="1">'6 PEF'!AB54</f>
        <v>2036</v>
      </c>
      <c r="AA104" s="401">
        <f ca="1">'6 PEF'!AC54</f>
        <v>2037</v>
      </c>
      <c r="AB104" s="401">
        <f ca="1">'6 PEF'!AD54</f>
        <v>2038</v>
      </c>
      <c r="AC104" s="302"/>
      <c r="AD104" s="302"/>
    </row>
    <row r="105" spans="2:30" ht="12" customHeight="1" x14ac:dyDescent="0.25">
      <c r="B105" s="757"/>
      <c r="D105" s="746" t="str">
        <f>'F+T Translation'!B112</f>
        <v>Podatki iz finančne ocene</v>
      </c>
      <c r="E105" s="292"/>
      <c r="F105" s="493"/>
      <c r="G105" s="478"/>
      <c r="H105" s="470" t="str">
        <f>'6 PEF'!D11</f>
        <v>EBITDA</v>
      </c>
      <c r="I105" s="468" t="e">
        <f>'6 PEF'!K11</f>
        <v>#DIV/0!</v>
      </c>
      <c r="J105" s="328" t="e">
        <f>'6 PEF'!L11</f>
        <v>#DIV/0!</v>
      </c>
      <c r="K105" s="328" t="e">
        <f>'6 PEF'!M11</f>
        <v>#DIV/0!</v>
      </c>
      <c r="L105" s="328" t="e">
        <f>'6 PEF'!N11</f>
        <v>#DIV/0!</v>
      </c>
      <c r="M105" s="328" t="e">
        <f>'6 PEF'!O11</f>
        <v>#DIV/0!</v>
      </c>
      <c r="N105" s="328" t="e">
        <f>'6 PEF'!P11</f>
        <v>#DIV/0!</v>
      </c>
      <c r="O105" s="328" t="e">
        <f>'6 PEF'!Q11</f>
        <v>#DIV/0!</v>
      </c>
      <c r="P105" s="328" t="e">
        <f>'6 PEF'!R11</f>
        <v>#DIV/0!</v>
      </c>
      <c r="Q105" s="328" t="e">
        <f>'6 PEF'!S11</f>
        <v>#DIV/0!</v>
      </c>
      <c r="R105" s="328" t="e">
        <f>'6 PEF'!T11</f>
        <v>#DIV/0!</v>
      </c>
      <c r="S105" s="328" t="e">
        <f>'6 PEF'!U11</f>
        <v>#DIV/0!</v>
      </c>
      <c r="T105" s="328" t="e">
        <f>'6 PEF'!V11</f>
        <v>#DIV/0!</v>
      </c>
      <c r="U105" s="328" t="e">
        <f>'6 PEF'!W11</f>
        <v>#DIV/0!</v>
      </c>
      <c r="V105" s="328" t="e">
        <f>'6 PEF'!X11</f>
        <v>#DIV/0!</v>
      </c>
      <c r="W105" s="328" t="e">
        <f>'6 PEF'!Y11</f>
        <v>#DIV/0!</v>
      </c>
      <c r="X105" s="328" t="e">
        <f>'6 PEF'!Z11</f>
        <v>#DIV/0!</v>
      </c>
      <c r="Y105" s="328" t="e">
        <f>'6 PEF'!AA11</f>
        <v>#DIV/0!</v>
      </c>
      <c r="Z105" s="328" t="e">
        <f>'6 PEF'!AB11</f>
        <v>#DIV/0!</v>
      </c>
      <c r="AA105" s="328" t="e">
        <f>'6 PEF'!AC11</f>
        <v>#DIV/0!</v>
      </c>
      <c r="AB105" s="328" t="e">
        <f>'6 PEF'!AD11</f>
        <v>#DIV/0!</v>
      </c>
    </row>
    <row r="106" spans="2:30" x14ac:dyDescent="0.25">
      <c r="B106" s="757"/>
      <c r="D106" s="747"/>
      <c r="E106" s="292"/>
      <c r="F106" s="493"/>
      <c r="G106" s="478"/>
      <c r="H106" s="470" t="str">
        <f>'6 PEF'!D19</f>
        <v>EBIT</v>
      </c>
      <c r="I106" s="468" t="e">
        <f>'6 PEF'!K19</f>
        <v>#DIV/0!</v>
      </c>
      <c r="J106" s="328" t="e">
        <f>'6 PEF'!L19</f>
        <v>#DIV/0!</v>
      </c>
      <c r="K106" s="328" t="e">
        <f>'6 PEF'!M19</f>
        <v>#DIV/0!</v>
      </c>
      <c r="L106" s="328" t="e">
        <f>'6 PEF'!N19</f>
        <v>#DIV/0!</v>
      </c>
      <c r="M106" s="328" t="e">
        <f>'6 PEF'!O19</f>
        <v>#DIV/0!</v>
      </c>
      <c r="N106" s="328" t="e">
        <f>'6 PEF'!P19</f>
        <v>#DIV/0!</v>
      </c>
      <c r="O106" s="328" t="e">
        <f>'6 PEF'!Q19</f>
        <v>#DIV/0!</v>
      </c>
      <c r="P106" s="328" t="e">
        <f>'6 PEF'!R19</f>
        <v>#DIV/0!</v>
      </c>
      <c r="Q106" s="328" t="e">
        <f>'6 PEF'!S19</f>
        <v>#DIV/0!</v>
      </c>
      <c r="R106" s="328" t="e">
        <f>'6 PEF'!T19</f>
        <v>#DIV/0!</v>
      </c>
      <c r="S106" s="328" t="e">
        <f>'6 PEF'!U19</f>
        <v>#DIV/0!</v>
      </c>
      <c r="T106" s="328" t="e">
        <f>'6 PEF'!V19</f>
        <v>#DIV/0!</v>
      </c>
      <c r="U106" s="328" t="e">
        <f>'6 PEF'!W19</f>
        <v>#DIV/0!</v>
      </c>
      <c r="V106" s="328" t="e">
        <f>'6 PEF'!X19</f>
        <v>#DIV/0!</v>
      </c>
      <c r="W106" s="328" t="e">
        <f>'6 PEF'!Y19</f>
        <v>#DIV/0!</v>
      </c>
      <c r="X106" s="328" t="e">
        <f>'6 PEF'!Z19</f>
        <v>#DIV/0!</v>
      </c>
      <c r="Y106" s="328" t="e">
        <f>'6 PEF'!AA19</f>
        <v>#DIV/0!</v>
      </c>
      <c r="Z106" s="328" t="e">
        <f>'6 PEF'!AB19</f>
        <v>#DIV/0!</v>
      </c>
      <c r="AA106" s="328" t="e">
        <f>'6 PEF'!AC19</f>
        <v>#DIV/0!</v>
      </c>
      <c r="AB106" s="328" t="e">
        <f>'6 PEF'!AD19</f>
        <v>#DIV/0!</v>
      </c>
    </row>
    <row r="107" spans="2:30" x14ac:dyDescent="0.25">
      <c r="B107" s="757"/>
      <c r="D107" s="747"/>
      <c r="E107" s="292"/>
      <c r="F107" s="493"/>
      <c r="G107" s="478"/>
      <c r="H107" s="470" t="str">
        <f>'6 PEF'!D21</f>
        <v>IBIE</v>
      </c>
      <c r="I107" s="328" t="e">
        <f>'6 PEF'!K21</f>
        <v>#DIV/0!</v>
      </c>
      <c r="J107" s="328" t="e">
        <f>'6 PEF'!L21</f>
        <v>#DIV/0!</v>
      </c>
      <c r="K107" s="328" t="e">
        <f>'6 PEF'!M21</f>
        <v>#DIV/0!</v>
      </c>
      <c r="L107" s="328" t="e">
        <f>'6 PEF'!N21</f>
        <v>#DIV/0!</v>
      </c>
      <c r="M107" s="328" t="e">
        <f>'6 PEF'!O21</f>
        <v>#DIV/0!</v>
      </c>
      <c r="N107" s="328" t="e">
        <f>'6 PEF'!P21</f>
        <v>#DIV/0!</v>
      </c>
      <c r="O107" s="328" t="e">
        <f>'6 PEF'!Q21</f>
        <v>#DIV/0!</v>
      </c>
      <c r="P107" s="328" t="e">
        <f>'6 PEF'!R21</f>
        <v>#DIV/0!</v>
      </c>
      <c r="Q107" s="328" t="e">
        <f>'6 PEF'!S21</f>
        <v>#DIV/0!</v>
      </c>
      <c r="R107" s="328" t="e">
        <f>'6 PEF'!T21</f>
        <v>#DIV/0!</v>
      </c>
      <c r="S107" s="328" t="e">
        <f>'6 PEF'!U21</f>
        <v>#DIV/0!</v>
      </c>
      <c r="T107" s="328" t="e">
        <f>'6 PEF'!V21</f>
        <v>#DIV/0!</v>
      </c>
      <c r="U107" s="328" t="e">
        <f>'6 PEF'!W21</f>
        <v>#DIV/0!</v>
      </c>
      <c r="V107" s="328" t="e">
        <f>'6 PEF'!X21</f>
        <v>#DIV/0!</v>
      </c>
      <c r="W107" s="328" t="e">
        <f>'6 PEF'!Y21</f>
        <v>#DIV/0!</v>
      </c>
      <c r="X107" s="328" t="e">
        <f>'6 PEF'!Z21</f>
        <v>#DIV/0!</v>
      </c>
      <c r="Y107" s="328" t="e">
        <f>'6 PEF'!AA21</f>
        <v>#DIV/0!</v>
      </c>
      <c r="Z107" s="328" t="e">
        <f>'6 PEF'!AB21</f>
        <v>#DIV/0!</v>
      </c>
      <c r="AA107" s="328" t="e">
        <f>'6 PEF'!AC21</f>
        <v>#DIV/0!</v>
      </c>
      <c r="AB107" s="328" t="e">
        <f>'6 PEF'!AD21</f>
        <v>#DIV/0!</v>
      </c>
    </row>
    <row r="108" spans="2:30" s="302" customFormat="1" x14ac:dyDescent="0.25">
      <c r="B108" s="757"/>
      <c r="D108" s="748"/>
      <c r="E108" s="292"/>
      <c r="F108" s="229"/>
      <c r="G108" s="478"/>
      <c r="H108" s="470" t="str">
        <f>'F+T Translation'!B115</f>
        <v>Obresti</v>
      </c>
      <c r="I108" s="328">
        <f>'F-Calc Mortgage loan'!E41</f>
        <v>0</v>
      </c>
      <c r="J108" s="328" t="e">
        <f>'F-Calc Mortgage loan'!F41</f>
        <v>#NUM!</v>
      </c>
      <c r="K108" s="328" t="e">
        <f>'F-Calc Mortgage loan'!G41</f>
        <v>#NUM!</v>
      </c>
      <c r="L108" s="328" t="e">
        <f>'F-Calc Mortgage loan'!H41</f>
        <v>#NUM!</v>
      </c>
      <c r="M108" s="328" t="e">
        <f>'F-Calc Mortgage loan'!I41</f>
        <v>#NUM!</v>
      </c>
      <c r="N108" s="328" t="e">
        <f>'F-Calc Mortgage loan'!J41</f>
        <v>#NUM!</v>
      </c>
      <c r="O108" s="328" t="e">
        <f>'F-Calc Mortgage loan'!K41</f>
        <v>#NUM!</v>
      </c>
      <c r="P108" s="328" t="e">
        <f>'F-Calc Mortgage loan'!L41</f>
        <v>#NUM!</v>
      </c>
      <c r="Q108" s="328" t="e">
        <f>'F-Calc Mortgage loan'!M41</f>
        <v>#NUM!</v>
      </c>
      <c r="R108" s="328" t="e">
        <f>'F-Calc Mortgage loan'!N41</f>
        <v>#NUM!</v>
      </c>
      <c r="S108" s="328" t="e">
        <f>'F-Calc Mortgage loan'!O41</f>
        <v>#NUM!</v>
      </c>
      <c r="T108" s="328" t="e">
        <f>'F-Calc Mortgage loan'!P41</f>
        <v>#NUM!</v>
      </c>
      <c r="U108" s="328" t="e">
        <f>'F-Calc Mortgage loan'!Q41</f>
        <v>#NUM!</v>
      </c>
      <c r="V108" s="328" t="e">
        <f>'F-Calc Mortgage loan'!R41</f>
        <v>#NUM!</v>
      </c>
      <c r="W108" s="328" t="e">
        <f>'F-Calc Mortgage loan'!S41</f>
        <v>#NUM!</v>
      </c>
      <c r="X108" s="328" t="e">
        <f>'F-Calc Mortgage loan'!T41</f>
        <v>#NUM!</v>
      </c>
      <c r="Y108" s="328" t="e">
        <f>'F-Calc Mortgage loan'!U41</f>
        <v>#NUM!</v>
      </c>
      <c r="Z108" s="328" t="e">
        <f>'F-Calc Mortgage loan'!V41</f>
        <v>#NUM!</v>
      </c>
      <c r="AA108" s="328" t="e">
        <f>'F-Calc Mortgage loan'!W41</f>
        <v>#NUM!</v>
      </c>
      <c r="AB108" s="328" t="e">
        <f>'F-Calc Mortgage loan'!X41</f>
        <v>#NUM!</v>
      </c>
    </row>
    <row r="109" spans="2:30" s="185" customFormat="1" ht="12" customHeight="1" x14ac:dyDescent="0.25">
      <c r="B109" s="757"/>
      <c r="D109" s="754" t="str">
        <f>'F+T Translation'!B113</f>
        <v>Nacionalna ali lokalna pravila računanja</v>
      </c>
      <c r="E109" s="647"/>
      <c r="F109" s="648"/>
      <c r="G109" s="649" t="str">
        <f>"max 30% "&amp;H105</f>
        <v>max 30% EBITDA</v>
      </c>
      <c r="H109" s="649">
        <v>30</v>
      </c>
      <c r="I109" s="650" t="e">
        <f>I105*$H$109/100</f>
        <v>#DIV/0!</v>
      </c>
      <c r="J109" s="650" t="e">
        <f t="shared" ref="J109:AB109" si="12">J105*$H$109/100</f>
        <v>#DIV/0!</v>
      </c>
      <c r="K109" s="650" t="e">
        <f t="shared" si="12"/>
        <v>#DIV/0!</v>
      </c>
      <c r="L109" s="650" t="e">
        <f t="shared" si="12"/>
        <v>#DIV/0!</v>
      </c>
      <c r="M109" s="650" t="e">
        <f t="shared" si="12"/>
        <v>#DIV/0!</v>
      </c>
      <c r="N109" s="650" t="e">
        <f t="shared" si="12"/>
        <v>#DIV/0!</v>
      </c>
      <c r="O109" s="650" t="e">
        <f t="shared" si="12"/>
        <v>#DIV/0!</v>
      </c>
      <c r="P109" s="650" t="e">
        <f t="shared" si="12"/>
        <v>#DIV/0!</v>
      </c>
      <c r="Q109" s="650" t="e">
        <f t="shared" si="12"/>
        <v>#DIV/0!</v>
      </c>
      <c r="R109" s="650" t="e">
        <f t="shared" si="12"/>
        <v>#DIV/0!</v>
      </c>
      <c r="S109" s="650" t="e">
        <f t="shared" si="12"/>
        <v>#DIV/0!</v>
      </c>
      <c r="T109" s="650" t="e">
        <f t="shared" si="12"/>
        <v>#DIV/0!</v>
      </c>
      <c r="U109" s="650" t="e">
        <f t="shared" si="12"/>
        <v>#DIV/0!</v>
      </c>
      <c r="V109" s="650" t="e">
        <f t="shared" si="12"/>
        <v>#DIV/0!</v>
      </c>
      <c r="W109" s="650" t="e">
        <f t="shared" si="12"/>
        <v>#DIV/0!</v>
      </c>
      <c r="X109" s="650" t="e">
        <f t="shared" si="12"/>
        <v>#DIV/0!</v>
      </c>
      <c r="Y109" s="650" t="e">
        <f t="shared" si="12"/>
        <v>#DIV/0!</v>
      </c>
      <c r="Z109" s="650" t="e">
        <f t="shared" si="12"/>
        <v>#DIV/0!</v>
      </c>
      <c r="AA109" s="650" t="e">
        <f t="shared" si="12"/>
        <v>#DIV/0!</v>
      </c>
      <c r="AB109" s="650" t="e">
        <f t="shared" si="12"/>
        <v>#DIV/0!</v>
      </c>
    </row>
    <row r="110" spans="2:30" s="185" customFormat="1" x14ac:dyDescent="0.25">
      <c r="B110" s="757"/>
      <c r="D110" s="755"/>
      <c r="E110" s="647"/>
      <c r="F110" s="648"/>
      <c r="G110" s="649"/>
      <c r="H110" s="649"/>
      <c r="I110" s="650"/>
      <c r="J110" s="650"/>
      <c r="K110" s="650"/>
      <c r="L110" s="650"/>
      <c r="M110" s="650"/>
      <c r="N110" s="650"/>
      <c r="O110" s="650"/>
      <c r="P110" s="650"/>
      <c r="Q110" s="650"/>
      <c r="R110" s="650"/>
      <c r="S110" s="650"/>
      <c r="T110" s="650"/>
      <c r="U110" s="650"/>
      <c r="V110" s="650"/>
      <c r="W110" s="650"/>
      <c r="X110" s="650"/>
      <c r="Y110" s="650"/>
      <c r="Z110" s="650"/>
      <c r="AA110" s="650"/>
      <c r="AB110" s="650"/>
    </row>
    <row r="111" spans="2:30" s="185" customFormat="1" x14ac:dyDescent="0.25">
      <c r="B111" s="757"/>
      <c r="D111" s="755"/>
      <c r="E111" s="647"/>
      <c r="F111" s="648"/>
      <c r="G111" s="649"/>
      <c r="H111" s="649"/>
      <c r="I111" s="650"/>
      <c r="J111" s="650"/>
      <c r="K111" s="650"/>
      <c r="L111" s="650"/>
      <c r="M111" s="650"/>
      <c r="N111" s="650"/>
      <c r="O111" s="650"/>
      <c r="P111" s="650"/>
      <c r="Q111" s="650"/>
      <c r="R111" s="650"/>
      <c r="S111" s="650"/>
      <c r="T111" s="650"/>
      <c r="U111" s="650"/>
      <c r="V111" s="650"/>
      <c r="W111" s="650"/>
      <c r="X111" s="650"/>
      <c r="Y111" s="650"/>
      <c r="Z111" s="650"/>
      <c r="AA111" s="650"/>
      <c r="AB111" s="650"/>
    </row>
    <row r="112" spans="2:30" s="185" customFormat="1" x14ac:dyDescent="0.25">
      <c r="B112" s="757"/>
      <c r="D112" s="755"/>
      <c r="E112" s="647"/>
      <c r="F112" s="648"/>
      <c r="G112" s="649"/>
      <c r="H112" s="649"/>
      <c r="I112" s="650"/>
      <c r="J112" s="650"/>
      <c r="K112" s="650"/>
      <c r="L112" s="650"/>
      <c r="M112" s="650"/>
      <c r="N112" s="650"/>
      <c r="O112" s="650"/>
      <c r="P112" s="650"/>
      <c r="Q112" s="650"/>
      <c r="R112" s="650"/>
      <c r="S112" s="650"/>
      <c r="T112" s="650"/>
      <c r="U112" s="650"/>
      <c r="V112" s="650"/>
      <c r="W112" s="650"/>
      <c r="X112" s="650"/>
      <c r="Y112" s="650"/>
      <c r="Z112" s="650"/>
      <c r="AA112" s="650"/>
      <c r="AB112" s="650"/>
    </row>
    <row r="113" spans="2:28" s="185" customFormat="1" x14ac:dyDescent="0.25">
      <c r="B113" s="757"/>
      <c r="D113" s="755"/>
      <c r="E113" s="647"/>
      <c r="F113" s="648"/>
      <c r="G113" s="649"/>
      <c r="H113" s="649"/>
      <c r="I113" s="650"/>
      <c r="J113" s="650"/>
      <c r="K113" s="650"/>
      <c r="L113" s="650"/>
      <c r="M113" s="650"/>
      <c r="N113" s="650"/>
      <c r="O113" s="650"/>
      <c r="P113" s="650"/>
      <c r="Q113" s="650"/>
      <c r="R113" s="650"/>
      <c r="S113" s="650"/>
      <c r="T113" s="650"/>
      <c r="U113" s="650"/>
      <c r="V113" s="650"/>
      <c r="W113" s="650"/>
      <c r="X113" s="650"/>
      <c r="Y113" s="650"/>
      <c r="Z113" s="650"/>
      <c r="AA113" s="650"/>
      <c r="AB113" s="650"/>
    </row>
    <row r="114" spans="2:28" s="185" customFormat="1" x14ac:dyDescent="0.25">
      <c r="B114" s="757"/>
      <c r="D114" s="755"/>
      <c r="E114" s="647"/>
      <c r="F114" s="648"/>
      <c r="G114" s="649"/>
      <c r="H114" s="649"/>
      <c r="I114" s="650" t="e">
        <f>IF(I107&gt;0,MIN(I107:I109),0)</f>
        <v>#DIV/0!</v>
      </c>
      <c r="J114" s="650" t="e">
        <f t="shared" ref="J114:AB114" si="13">IF(J107&gt;0,MIN(J107:J109),0)</f>
        <v>#DIV/0!</v>
      </c>
      <c r="K114" s="650" t="e">
        <f t="shared" si="13"/>
        <v>#DIV/0!</v>
      </c>
      <c r="L114" s="650" t="e">
        <f t="shared" si="13"/>
        <v>#DIV/0!</v>
      </c>
      <c r="M114" s="650" t="e">
        <f t="shared" si="13"/>
        <v>#DIV/0!</v>
      </c>
      <c r="N114" s="650" t="e">
        <f t="shared" si="13"/>
        <v>#DIV/0!</v>
      </c>
      <c r="O114" s="650" t="e">
        <f t="shared" si="13"/>
        <v>#DIV/0!</v>
      </c>
      <c r="P114" s="650" t="e">
        <f t="shared" si="13"/>
        <v>#DIV/0!</v>
      </c>
      <c r="Q114" s="650" t="e">
        <f t="shared" si="13"/>
        <v>#DIV/0!</v>
      </c>
      <c r="R114" s="650" t="e">
        <f t="shared" si="13"/>
        <v>#DIV/0!</v>
      </c>
      <c r="S114" s="650" t="e">
        <f t="shared" si="13"/>
        <v>#DIV/0!</v>
      </c>
      <c r="T114" s="650" t="e">
        <f t="shared" si="13"/>
        <v>#DIV/0!</v>
      </c>
      <c r="U114" s="650" t="e">
        <f t="shared" si="13"/>
        <v>#DIV/0!</v>
      </c>
      <c r="V114" s="650" t="e">
        <f t="shared" si="13"/>
        <v>#DIV/0!</v>
      </c>
      <c r="W114" s="650" t="e">
        <f t="shared" si="13"/>
        <v>#DIV/0!</v>
      </c>
      <c r="X114" s="650" t="e">
        <f t="shared" si="13"/>
        <v>#DIV/0!</v>
      </c>
      <c r="Y114" s="650" t="e">
        <f t="shared" si="13"/>
        <v>#DIV/0!</v>
      </c>
      <c r="Z114" s="650" t="e">
        <f t="shared" si="13"/>
        <v>#DIV/0!</v>
      </c>
      <c r="AA114" s="650" t="e">
        <f t="shared" si="13"/>
        <v>#DIV/0!</v>
      </c>
      <c r="AB114" s="650" t="e">
        <f t="shared" si="13"/>
        <v>#DIV/0!</v>
      </c>
    </row>
    <row r="115" spans="2:28" s="185" customFormat="1" x14ac:dyDescent="0.25">
      <c r="B115" s="757"/>
      <c r="D115" s="756"/>
      <c r="E115" s="492"/>
      <c r="F115" s="475"/>
      <c r="G115" s="476"/>
      <c r="H115" s="477" t="str">
        <f>'6 PEF'!D22</f>
        <v>Odbitni odhodki za obresti</v>
      </c>
      <c r="I115" s="651" t="e">
        <f>I114</f>
        <v>#DIV/0!</v>
      </c>
      <c r="J115" s="651" t="e">
        <f t="shared" ref="J115:AB115" si="14">J114</f>
        <v>#DIV/0!</v>
      </c>
      <c r="K115" s="651" t="e">
        <f t="shared" si="14"/>
        <v>#DIV/0!</v>
      </c>
      <c r="L115" s="651" t="e">
        <f t="shared" si="14"/>
        <v>#DIV/0!</v>
      </c>
      <c r="M115" s="651" t="e">
        <f t="shared" si="14"/>
        <v>#DIV/0!</v>
      </c>
      <c r="N115" s="651" t="e">
        <f t="shared" si="14"/>
        <v>#DIV/0!</v>
      </c>
      <c r="O115" s="651" t="e">
        <f t="shared" si="14"/>
        <v>#DIV/0!</v>
      </c>
      <c r="P115" s="651" t="e">
        <f t="shared" si="14"/>
        <v>#DIV/0!</v>
      </c>
      <c r="Q115" s="651" t="e">
        <f t="shared" si="14"/>
        <v>#DIV/0!</v>
      </c>
      <c r="R115" s="651" t="e">
        <f t="shared" si="14"/>
        <v>#DIV/0!</v>
      </c>
      <c r="S115" s="651" t="e">
        <f t="shared" si="14"/>
        <v>#DIV/0!</v>
      </c>
      <c r="T115" s="651" t="e">
        <f t="shared" si="14"/>
        <v>#DIV/0!</v>
      </c>
      <c r="U115" s="651" t="e">
        <f t="shared" si="14"/>
        <v>#DIV/0!</v>
      </c>
      <c r="V115" s="651" t="e">
        <f t="shared" si="14"/>
        <v>#DIV/0!</v>
      </c>
      <c r="W115" s="651" t="e">
        <f t="shared" si="14"/>
        <v>#DIV/0!</v>
      </c>
      <c r="X115" s="651" t="e">
        <f t="shared" si="14"/>
        <v>#DIV/0!</v>
      </c>
      <c r="Y115" s="651" t="e">
        <f t="shared" si="14"/>
        <v>#DIV/0!</v>
      </c>
      <c r="Z115" s="651" t="e">
        <f t="shared" si="14"/>
        <v>#DIV/0!</v>
      </c>
      <c r="AA115" s="651" t="e">
        <f t="shared" si="14"/>
        <v>#DIV/0!</v>
      </c>
      <c r="AB115" s="651" t="e">
        <f t="shared" si="14"/>
        <v>#DIV/0!</v>
      </c>
    </row>
    <row r="116" spans="2:28" s="185" customFormat="1" x14ac:dyDescent="0.25">
      <c r="D116" s="471"/>
      <c r="E116" s="471"/>
      <c r="F116" s="471"/>
      <c r="H116" s="469"/>
      <c r="I116" s="472"/>
      <c r="J116" s="472"/>
      <c r="K116" s="472"/>
      <c r="L116" s="472"/>
      <c r="M116" s="472"/>
      <c r="N116" s="472"/>
      <c r="O116" s="472"/>
      <c r="P116" s="472"/>
      <c r="Q116" s="472"/>
      <c r="R116" s="472"/>
      <c r="S116" s="472"/>
      <c r="T116" s="472"/>
      <c r="U116" s="472"/>
      <c r="V116" s="472"/>
      <c r="W116" s="472"/>
      <c r="X116" s="472"/>
      <c r="Y116" s="472"/>
      <c r="Z116" s="472"/>
      <c r="AA116" s="472"/>
      <c r="AB116" s="472"/>
    </row>
    <row r="117" spans="2:28" s="185" customFormat="1" x14ac:dyDescent="0.25">
      <c r="B117" s="757">
        <v>11</v>
      </c>
      <c r="D117" s="471"/>
      <c r="E117" s="471"/>
      <c r="F117" s="471"/>
      <c r="H117" s="469"/>
      <c r="I117" s="753" t="str">
        <f>'F+T Translation'!B114</f>
        <v>IZRAČUN DAVKOV</v>
      </c>
      <c r="J117" s="753"/>
      <c r="K117" s="753"/>
      <c r="L117" s="753"/>
      <c r="M117" s="753"/>
      <c r="N117" s="753"/>
      <c r="O117" s="753"/>
      <c r="P117" s="753"/>
      <c r="Q117" s="753"/>
      <c r="R117" s="753"/>
      <c r="S117" s="753"/>
      <c r="T117" s="753"/>
      <c r="U117" s="753"/>
      <c r="V117" s="753"/>
      <c r="W117" s="753"/>
      <c r="X117" s="753"/>
      <c r="Y117" s="753"/>
      <c r="Z117" s="753"/>
      <c r="AA117" s="753"/>
      <c r="AB117" s="753"/>
    </row>
    <row r="118" spans="2:28" s="189" customFormat="1" x14ac:dyDescent="0.25">
      <c r="B118" s="757"/>
      <c r="D118" s="490"/>
      <c r="E118" s="490"/>
      <c r="F118" s="490"/>
      <c r="H118" s="491"/>
      <c r="I118" s="161">
        <f>I103</f>
        <v>1</v>
      </c>
      <c r="J118" s="161">
        <f t="shared" ref="J118:AB122" si="15">J103</f>
        <v>2</v>
      </c>
      <c r="K118" s="161">
        <f t="shared" si="15"/>
        <v>3</v>
      </c>
      <c r="L118" s="161">
        <f t="shared" si="15"/>
        <v>4</v>
      </c>
      <c r="M118" s="161">
        <f t="shared" si="15"/>
        <v>5</v>
      </c>
      <c r="N118" s="161">
        <f t="shared" si="15"/>
        <v>6</v>
      </c>
      <c r="O118" s="161">
        <f t="shared" si="15"/>
        <v>7</v>
      </c>
      <c r="P118" s="161">
        <f t="shared" si="15"/>
        <v>8</v>
      </c>
      <c r="Q118" s="161">
        <f t="shared" si="15"/>
        <v>9</v>
      </c>
      <c r="R118" s="161">
        <f t="shared" si="15"/>
        <v>10</v>
      </c>
      <c r="S118" s="161">
        <f t="shared" si="15"/>
        <v>11</v>
      </c>
      <c r="T118" s="161">
        <f t="shared" si="15"/>
        <v>12</v>
      </c>
      <c r="U118" s="161">
        <f t="shared" si="15"/>
        <v>13</v>
      </c>
      <c r="V118" s="161">
        <f t="shared" si="15"/>
        <v>14</v>
      </c>
      <c r="W118" s="161">
        <f t="shared" si="15"/>
        <v>15</v>
      </c>
      <c r="X118" s="161">
        <f t="shared" si="15"/>
        <v>16</v>
      </c>
      <c r="Y118" s="161">
        <f t="shared" si="15"/>
        <v>17</v>
      </c>
      <c r="Z118" s="161">
        <f t="shared" si="15"/>
        <v>18</v>
      </c>
      <c r="AA118" s="161">
        <f t="shared" si="15"/>
        <v>19</v>
      </c>
      <c r="AB118" s="161">
        <f t="shared" si="15"/>
        <v>20</v>
      </c>
    </row>
    <row r="119" spans="2:28" s="189" customFormat="1" x14ac:dyDescent="0.25">
      <c r="B119" s="757"/>
      <c r="D119" s="490"/>
      <c r="E119" s="490"/>
      <c r="F119" s="490"/>
      <c r="H119" s="491"/>
      <c r="I119" s="161">
        <f t="shared" ref="I119:X122" ca="1" si="16">I104</f>
        <v>2019</v>
      </c>
      <c r="J119" s="161">
        <f t="shared" ca="1" si="16"/>
        <v>2020</v>
      </c>
      <c r="K119" s="161">
        <f t="shared" ca="1" si="16"/>
        <v>2021</v>
      </c>
      <c r="L119" s="161">
        <f t="shared" ca="1" si="16"/>
        <v>2022</v>
      </c>
      <c r="M119" s="161">
        <f t="shared" ca="1" si="16"/>
        <v>2023</v>
      </c>
      <c r="N119" s="161">
        <f t="shared" ca="1" si="16"/>
        <v>2024</v>
      </c>
      <c r="O119" s="161">
        <f t="shared" ca="1" si="16"/>
        <v>2025</v>
      </c>
      <c r="P119" s="161">
        <f t="shared" ca="1" si="16"/>
        <v>2026</v>
      </c>
      <c r="Q119" s="161">
        <f t="shared" ca="1" si="16"/>
        <v>2027</v>
      </c>
      <c r="R119" s="161">
        <f t="shared" ca="1" si="16"/>
        <v>2028</v>
      </c>
      <c r="S119" s="161">
        <f t="shared" ca="1" si="16"/>
        <v>2029</v>
      </c>
      <c r="T119" s="161">
        <f t="shared" ca="1" si="16"/>
        <v>2030</v>
      </c>
      <c r="U119" s="161">
        <f t="shared" ca="1" si="16"/>
        <v>2031</v>
      </c>
      <c r="V119" s="161">
        <f t="shared" ca="1" si="16"/>
        <v>2032</v>
      </c>
      <c r="W119" s="161">
        <f t="shared" ca="1" si="16"/>
        <v>2033</v>
      </c>
      <c r="X119" s="161">
        <f t="shared" ca="1" si="16"/>
        <v>2034</v>
      </c>
      <c r="Y119" s="161">
        <f t="shared" ca="1" si="15"/>
        <v>2035</v>
      </c>
      <c r="Z119" s="161">
        <f t="shared" ca="1" si="15"/>
        <v>2036</v>
      </c>
      <c r="AA119" s="161">
        <f t="shared" ca="1" si="15"/>
        <v>2037</v>
      </c>
      <c r="AB119" s="161">
        <f t="shared" ca="1" si="15"/>
        <v>2038</v>
      </c>
    </row>
    <row r="120" spans="2:28" s="185" customFormat="1" ht="12" customHeight="1" x14ac:dyDescent="0.25">
      <c r="B120" s="757"/>
      <c r="D120" s="746" t="str">
        <f>D105</f>
        <v>Podatki iz finančne ocene</v>
      </c>
      <c r="E120" s="292"/>
      <c r="F120" s="493"/>
      <c r="G120" s="478"/>
      <c r="H120" s="473" t="str">
        <f>H105</f>
        <v>EBITDA</v>
      </c>
      <c r="I120" s="328" t="e">
        <f t="shared" si="16"/>
        <v>#DIV/0!</v>
      </c>
      <c r="J120" s="328" t="e">
        <f t="shared" si="15"/>
        <v>#DIV/0!</v>
      </c>
      <c r="K120" s="328" t="e">
        <f t="shared" si="15"/>
        <v>#DIV/0!</v>
      </c>
      <c r="L120" s="328" t="e">
        <f t="shared" si="15"/>
        <v>#DIV/0!</v>
      </c>
      <c r="M120" s="328" t="e">
        <f t="shared" si="15"/>
        <v>#DIV/0!</v>
      </c>
      <c r="N120" s="328" t="e">
        <f t="shared" si="15"/>
        <v>#DIV/0!</v>
      </c>
      <c r="O120" s="328" t="e">
        <f t="shared" si="15"/>
        <v>#DIV/0!</v>
      </c>
      <c r="P120" s="328" t="e">
        <f t="shared" si="15"/>
        <v>#DIV/0!</v>
      </c>
      <c r="Q120" s="328" t="e">
        <f t="shared" si="15"/>
        <v>#DIV/0!</v>
      </c>
      <c r="R120" s="328" t="e">
        <f t="shared" si="15"/>
        <v>#DIV/0!</v>
      </c>
      <c r="S120" s="328" t="e">
        <f t="shared" si="15"/>
        <v>#DIV/0!</v>
      </c>
      <c r="T120" s="328" t="e">
        <f t="shared" si="15"/>
        <v>#DIV/0!</v>
      </c>
      <c r="U120" s="328" t="e">
        <f t="shared" si="15"/>
        <v>#DIV/0!</v>
      </c>
      <c r="V120" s="328" t="e">
        <f t="shared" si="15"/>
        <v>#DIV/0!</v>
      </c>
      <c r="W120" s="328" t="e">
        <f t="shared" si="15"/>
        <v>#DIV/0!</v>
      </c>
      <c r="X120" s="328" t="e">
        <f t="shared" si="15"/>
        <v>#DIV/0!</v>
      </c>
      <c r="Y120" s="328" t="e">
        <f t="shared" si="15"/>
        <v>#DIV/0!</v>
      </c>
      <c r="Z120" s="328" t="e">
        <f t="shared" si="15"/>
        <v>#DIV/0!</v>
      </c>
      <c r="AA120" s="328" t="e">
        <f t="shared" si="15"/>
        <v>#DIV/0!</v>
      </c>
      <c r="AB120" s="328" t="e">
        <f t="shared" si="15"/>
        <v>#DIV/0!</v>
      </c>
    </row>
    <row r="121" spans="2:28" s="185" customFormat="1" x14ac:dyDescent="0.25">
      <c r="B121" s="757"/>
      <c r="D121" s="747"/>
      <c r="E121" s="292"/>
      <c r="F121" s="493"/>
      <c r="G121" s="478"/>
      <c r="H121" s="473" t="str">
        <f>H106</f>
        <v>EBIT</v>
      </c>
      <c r="I121" s="328" t="e">
        <f>I106</f>
        <v>#DIV/0!</v>
      </c>
      <c r="J121" s="328" t="e">
        <f>J106</f>
        <v>#DIV/0!</v>
      </c>
      <c r="K121" s="328" t="e">
        <f>K106</f>
        <v>#DIV/0!</v>
      </c>
      <c r="L121" s="328" t="e">
        <f t="shared" si="15"/>
        <v>#DIV/0!</v>
      </c>
      <c r="M121" s="328" t="e">
        <f t="shared" si="15"/>
        <v>#DIV/0!</v>
      </c>
      <c r="N121" s="328" t="e">
        <f t="shared" si="15"/>
        <v>#DIV/0!</v>
      </c>
      <c r="O121" s="328" t="e">
        <f t="shared" si="15"/>
        <v>#DIV/0!</v>
      </c>
      <c r="P121" s="328" t="e">
        <f t="shared" si="15"/>
        <v>#DIV/0!</v>
      </c>
      <c r="Q121" s="328" t="e">
        <f t="shared" si="15"/>
        <v>#DIV/0!</v>
      </c>
      <c r="R121" s="328" t="e">
        <f t="shared" si="15"/>
        <v>#DIV/0!</v>
      </c>
      <c r="S121" s="328" t="e">
        <f t="shared" si="15"/>
        <v>#DIV/0!</v>
      </c>
      <c r="T121" s="328" t="e">
        <f t="shared" si="15"/>
        <v>#DIV/0!</v>
      </c>
      <c r="U121" s="328" t="e">
        <f t="shared" si="15"/>
        <v>#DIV/0!</v>
      </c>
      <c r="V121" s="328" t="e">
        <f t="shared" si="15"/>
        <v>#DIV/0!</v>
      </c>
      <c r="W121" s="328" t="e">
        <f t="shared" si="15"/>
        <v>#DIV/0!</v>
      </c>
      <c r="X121" s="328" t="e">
        <f t="shared" si="15"/>
        <v>#DIV/0!</v>
      </c>
      <c r="Y121" s="328" t="e">
        <f t="shared" si="15"/>
        <v>#DIV/0!</v>
      </c>
      <c r="Z121" s="328" t="e">
        <f t="shared" si="15"/>
        <v>#DIV/0!</v>
      </c>
      <c r="AA121" s="328" t="e">
        <f t="shared" si="15"/>
        <v>#DIV/0!</v>
      </c>
      <c r="AB121" s="328" t="e">
        <f t="shared" si="15"/>
        <v>#DIV/0!</v>
      </c>
    </row>
    <row r="122" spans="2:28" s="185" customFormat="1" x14ac:dyDescent="0.25">
      <c r="B122" s="757"/>
      <c r="D122" s="747"/>
      <c r="E122" s="292"/>
      <c r="F122" s="493"/>
      <c r="G122" s="478"/>
      <c r="H122" s="473" t="str">
        <f>H107</f>
        <v>IBIE</v>
      </c>
      <c r="I122" s="328" t="e">
        <f t="shared" si="16"/>
        <v>#DIV/0!</v>
      </c>
      <c r="J122" s="328" t="e">
        <f t="shared" si="15"/>
        <v>#DIV/0!</v>
      </c>
      <c r="K122" s="328" t="e">
        <f t="shared" si="15"/>
        <v>#DIV/0!</v>
      </c>
      <c r="L122" s="328" t="e">
        <f t="shared" si="15"/>
        <v>#DIV/0!</v>
      </c>
      <c r="M122" s="328" t="e">
        <f t="shared" si="15"/>
        <v>#DIV/0!</v>
      </c>
      <c r="N122" s="328" t="e">
        <f t="shared" si="15"/>
        <v>#DIV/0!</v>
      </c>
      <c r="O122" s="328" t="e">
        <f t="shared" si="15"/>
        <v>#DIV/0!</v>
      </c>
      <c r="P122" s="328" t="e">
        <f t="shared" si="15"/>
        <v>#DIV/0!</v>
      </c>
      <c r="Q122" s="328" t="e">
        <f t="shared" si="15"/>
        <v>#DIV/0!</v>
      </c>
      <c r="R122" s="328" t="e">
        <f t="shared" si="15"/>
        <v>#DIV/0!</v>
      </c>
      <c r="S122" s="328" t="e">
        <f t="shared" si="15"/>
        <v>#DIV/0!</v>
      </c>
      <c r="T122" s="328" t="e">
        <f t="shared" si="15"/>
        <v>#DIV/0!</v>
      </c>
      <c r="U122" s="328" t="e">
        <f t="shared" si="15"/>
        <v>#DIV/0!</v>
      </c>
      <c r="V122" s="328" t="e">
        <f t="shared" si="15"/>
        <v>#DIV/0!</v>
      </c>
      <c r="W122" s="328" t="e">
        <f t="shared" si="15"/>
        <v>#DIV/0!</v>
      </c>
      <c r="X122" s="328" t="e">
        <f t="shared" si="15"/>
        <v>#DIV/0!</v>
      </c>
      <c r="Y122" s="328" t="e">
        <f t="shared" si="15"/>
        <v>#DIV/0!</v>
      </c>
      <c r="Z122" s="328" t="e">
        <f t="shared" si="15"/>
        <v>#DIV/0!</v>
      </c>
      <c r="AA122" s="328" t="e">
        <f t="shared" si="15"/>
        <v>#DIV/0!</v>
      </c>
      <c r="AB122" s="328" t="e">
        <f t="shared" si="15"/>
        <v>#DIV/0!</v>
      </c>
    </row>
    <row r="123" spans="2:28" x14ac:dyDescent="0.25">
      <c r="B123" s="757"/>
      <c r="D123" s="748"/>
      <c r="E123" s="292"/>
      <c r="F123" s="493"/>
      <c r="G123" s="478"/>
      <c r="H123" s="474" t="str">
        <f>'6 PEF'!D23</f>
        <v>EBT</v>
      </c>
      <c r="I123" s="328" t="e">
        <f>'6 PEF'!K23</f>
        <v>#DIV/0!</v>
      </c>
      <c r="J123" s="328" t="e">
        <f>'6 PEF'!L23</f>
        <v>#DIV/0!</v>
      </c>
      <c r="K123" s="328" t="e">
        <f>'6 PEF'!M23</f>
        <v>#DIV/0!</v>
      </c>
      <c r="L123" s="328" t="e">
        <f>'6 PEF'!N23</f>
        <v>#DIV/0!</v>
      </c>
      <c r="M123" s="328" t="e">
        <f>'6 PEF'!O23</f>
        <v>#DIV/0!</v>
      </c>
      <c r="N123" s="328" t="e">
        <f>'6 PEF'!P23</f>
        <v>#DIV/0!</v>
      </c>
      <c r="O123" s="328" t="e">
        <f>'6 PEF'!Q23</f>
        <v>#DIV/0!</v>
      </c>
      <c r="P123" s="328" t="e">
        <f>'6 PEF'!R23</f>
        <v>#DIV/0!</v>
      </c>
      <c r="Q123" s="328" t="e">
        <f>'6 PEF'!S23</f>
        <v>#DIV/0!</v>
      </c>
      <c r="R123" s="328" t="e">
        <f>'6 PEF'!T23</f>
        <v>#DIV/0!</v>
      </c>
      <c r="S123" s="328" t="e">
        <f>'6 PEF'!U23</f>
        <v>#DIV/0!</v>
      </c>
      <c r="T123" s="328" t="e">
        <f>'6 PEF'!V23</f>
        <v>#DIV/0!</v>
      </c>
      <c r="U123" s="328" t="e">
        <f>'6 PEF'!W23</f>
        <v>#DIV/0!</v>
      </c>
      <c r="V123" s="328" t="e">
        <f>'6 PEF'!X23</f>
        <v>#DIV/0!</v>
      </c>
      <c r="W123" s="328" t="e">
        <f>'6 PEF'!Y23</f>
        <v>#DIV/0!</v>
      </c>
      <c r="X123" s="328" t="e">
        <f>'6 PEF'!Z23</f>
        <v>#DIV/0!</v>
      </c>
      <c r="Y123" s="328" t="e">
        <f>'6 PEF'!AA23</f>
        <v>#DIV/0!</v>
      </c>
      <c r="Z123" s="328" t="e">
        <f>'6 PEF'!AB23</f>
        <v>#DIV/0!</v>
      </c>
      <c r="AA123" s="328" t="e">
        <f>'6 PEF'!AC23</f>
        <v>#DIV/0!</v>
      </c>
      <c r="AB123" s="328" t="e">
        <f>'6 PEF'!AD23</f>
        <v>#DIV/0!</v>
      </c>
    </row>
    <row r="124" spans="2:28" s="185" customFormat="1" ht="12" customHeight="1" x14ac:dyDescent="0.25">
      <c r="B124" s="757"/>
      <c r="D124" s="743" t="str">
        <f>D109</f>
        <v>Nacionalna ali lokalna pravila računanja</v>
      </c>
      <c r="E124" s="647"/>
      <c r="F124" s="648"/>
      <c r="G124" s="649" t="s">
        <v>723</v>
      </c>
      <c r="H124" s="649">
        <v>24</v>
      </c>
      <c r="I124" s="650" t="e">
        <f>IF(I121&gt;0,I121*$H$124/100,0)</f>
        <v>#DIV/0!</v>
      </c>
      <c r="J124" s="650" t="e">
        <f t="shared" ref="J124:AB124" si="17">IF(J121&gt;0,J121*$H$124/100,0)</f>
        <v>#DIV/0!</v>
      </c>
      <c r="K124" s="650" t="e">
        <f t="shared" si="17"/>
        <v>#DIV/0!</v>
      </c>
      <c r="L124" s="650" t="e">
        <f t="shared" si="17"/>
        <v>#DIV/0!</v>
      </c>
      <c r="M124" s="650" t="e">
        <f t="shared" si="17"/>
        <v>#DIV/0!</v>
      </c>
      <c r="N124" s="650" t="e">
        <f t="shared" si="17"/>
        <v>#DIV/0!</v>
      </c>
      <c r="O124" s="650" t="e">
        <f t="shared" si="17"/>
        <v>#DIV/0!</v>
      </c>
      <c r="P124" s="650" t="e">
        <f t="shared" si="17"/>
        <v>#DIV/0!</v>
      </c>
      <c r="Q124" s="650" t="e">
        <f t="shared" si="17"/>
        <v>#DIV/0!</v>
      </c>
      <c r="R124" s="650" t="e">
        <f t="shared" si="17"/>
        <v>#DIV/0!</v>
      </c>
      <c r="S124" s="650" t="e">
        <f t="shared" si="17"/>
        <v>#DIV/0!</v>
      </c>
      <c r="T124" s="650" t="e">
        <f t="shared" si="17"/>
        <v>#DIV/0!</v>
      </c>
      <c r="U124" s="650" t="e">
        <f t="shared" si="17"/>
        <v>#DIV/0!</v>
      </c>
      <c r="V124" s="650" t="e">
        <f t="shared" si="17"/>
        <v>#DIV/0!</v>
      </c>
      <c r="W124" s="650" t="e">
        <f t="shared" si="17"/>
        <v>#DIV/0!</v>
      </c>
      <c r="X124" s="650" t="e">
        <f t="shared" si="17"/>
        <v>#DIV/0!</v>
      </c>
      <c r="Y124" s="650" t="e">
        <f t="shared" si="17"/>
        <v>#DIV/0!</v>
      </c>
      <c r="Z124" s="650" t="e">
        <f t="shared" si="17"/>
        <v>#DIV/0!</v>
      </c>
      <c r="AA124" s="650" t="e">
        <f t="shared" si="17"/>
        <v>#DIV/0!</v>
      </c>
      <c r="AB124" s="650" t="e">
        <f t="shared" si="17"/>
        <v>#DIV/0!</v>
      </c>
    </row>
    <row r="125" spans="2:28" s="185" customFormat="1" x14ac:dyDescent="0.25">
      <c r="B125" s="757"/>
      <c r="D125" s="744"/>
      <c r="E125" s="647"/>
      <c r="F125" s="648"/>
      <c r="G125" s="649" t="s">
        <v>724</v>
      </c>
      <c r="H125" s="649">
        <v>3.9</v>
      </c>
      <c r="I125" s="650" t="e">
        <f>IF(I120&gt;0,I120*$H$125/100,0)</f>
        <v>#DIV/0!</v>
      </c>
      <c r="J125" s="650" t="e">
        <f t="shared" ref="J125:AB125" si="18">IF(J120&gt;0,J120*$H$125/100,0)</f>
        <v>#DIV/0!</v>
      </c>
      <c r="K125" s="650" t="e">
        <f t="shared" si="18"/>
        <v>#DIV/0!</v>
      </c>
      <c r="L125" s="650" t="e">
        <f t="shared" si="18"/>
        <v>#DIV/0!</v>
      </c>
      <c r="M125" s="650" t="e">
        <f t="shared" si="18"/>
        <v>#DIV/0!</v>
      </c>
      <c r="N125" s="650" t="e">
        <f t="shared" si="18"/>
        <v>#DIV/0!</v>
      </c>
      <c r="O125" s="650" t="e">
        <f t="shared" si="18"/>
        <v>#DIV/0!</v>
      </c>
      <c r="P125" s="650" t="e">
        <f t="shared" si="18"/>
        <v>#DIV/0!</v>
      </c>
      <c r="Q125" s="650" t="e">
        <f t="shared" si="18"/>
        <v>#DIV/0!</v>
      </c>
      <c r="R125" s="650" t="e">
        <f t="shared" si="18"/>
        <v>#DIV/0!</v>
      </c>
      <c r="S125" s="650" t="e">
        <f t="shared" si="18"/>
        <v>#DIV/0!</v>
      </c>
      <c r="T125" s="650" t="e">
        <f t="shared" si="18"/>
        <v>#DIV/0!</v>
      </c>
      <c r="U125" s="650" t="e">
        <f t="shared" si="18"/>
        <v>#DIV/0!</v>
      </c>
      <c r="V125" s="650" t="e">
        <f t="shared" si="18"/>
        <v>#DIV/0!</v>
      </c>
      <c r="W125" s="650" t="e">
        <f t="shared" si="18"/>
        <v>#DIV/0!</v>
      </c>
      <c r="X125" s="650" t="e">
        <f t="shared" si="18"/>
        <v>#DIV/0!</v>
      </c>
      <c r="Y125" s="650" t="e">
        <f t="shared" si="18"/>
        <v>#DIV/0!</v>
      </c>
      <c r="Z125" s="650" t="e">
        <f t="shared" si="18"/>
        <v>#DIV/0!</v>
      </c>
      <c r="AA125" s="650" t="e">
        <f t="shared" si="18"/>
        <v>#DIV/0!</v>
      </c>
      <c r="AB125" s="650" t="e">
        <f t="shared" si="18"/>
        <v>#DIV/0!</v>
      </c>
    </row>
    <row r="126" spans="2:28" s="185" customFormat="1" x14ac:dyDescent="0.25">
      <c r="B126" s="757"/>
      <c r="D126" s="744"/>
      <c r="E126" s="647"/>
      <c r="F126" s="648"/>
      <c r="G126" s="649"/>
      <c r="H126" s="649"/>
      <c r="I126" s="650" t="e">
        <f>SUM(I124:I125)</f>
        <v>#DIV/0!</v>
      </c>
      <c r="J126" s="650" t="e">
        <f t="shared" ref="J126:AB126" si="19">SUM(J124:J125)</f>
        <v>#DIV/0!</v>
      </c>
      <c r="K126" s="650" t="e">
        <f t="shared" si="19"/>
        <v>#DIV/0!</v>
      </c>
      <c r="L126" s="650" t="e">
        <f t="shared" si="19"/>
        <v>#DIV/0!</v>
      </c>
      <c r="M126" s="650" t="e">
        <f t="shared" si="19"/>
        <v>#DIV/0!</v>
      </c>
      <c r="N126" s="650" t="e">
        <f t="shared" si="19"/>
        <v>#DIV/0!</v>
      </c>
      <c r="O126" s="650" t="e">
        <f t="shared" si="19"/>
        <v>#DIV/0!</v>
      </c>
      <c r="P126" s="650" t="e">
        <f t="shared" si="19"/>
        <v>#DIV/0!</v>
      </c>
      <c r="Q126" s="650" t="e">
        <f t="shared" si="19"/>
        <v>#DIV/0!</v>
      </c>
      <c r="R126" s="650" t="e">
        <f t="shared" si="19"/>
        <v>#DIV/0!</v>
      </c>
      <c r="S126" s="650" t="e">
        <f t="shared" si="19"/>
        <v>#DIV/0!</v>
      </c>
      <c r="T126" s="650" t="e">
        <f t="shared" si="19"/>
        <v>#DIV/0!</v>
      </c>
      <c r="U126" s="650" t="e">
        <f t="shared" si="19"/>
        <v>#DIV/0!</v>
      </c>
      <c r="V126" s="650" t="e">
        <f t="shared" si="19"/>
        <v>#DIV/0!</v>
      </c>
      <c r="W126" s="650" t="e">
        <f t="shared" si="19"/>
        <v>#DIV/0!</v>
      </c>
      <c r="X126" s="650" t="e">
        <f t="shared" si="19"/>
        <v>#DIV/0!</v>
      </c>
      <c r="Y126" s="650" t="e">
        <f t="shared" si="19"/>
        <v>#DIV/0!</v>
      </c>
      <c r="Z126" s="650" t="e">
        <f t="shared" si="19"/>
        <v>#DIV/0!</v>
      </c>
      <c r="AA126" s="650" t="e">
        <f t="shared" si="19"/>
        <v>#DIV/0!</v>
      </c>
      <c r="AB126" s="650" t="e">
        <f t="shared" si="19"/>
        <v>#DIV/0!</v>
      </c>
    </row>
    <row r="127" spans="2:28" s="185" customFormat="1" x14ac:dyDescent="0.25">
      <c r="B127" s="757"/>
      <c r="D127" s="744"/>
      <c r="E127" s="647"/>
      <c r="F127" s="648"/>
      <c r="G127" s="649"/>
      <c r="H127" s="649"/>
      <c r="I127" s="650"/>
      <c r="J127" s="650"/>
      <c r="K127" s="650"/>
      <c r="L127" s="650"/>
      <c r="M127" s="650"/>
      <c r="N127" s="650"/>
      <c r="O127" s="650"/>
      <c r="P127" s="650"/>
      <c r="Q127" s="650"/>
      <c r="R127" s="650"/>
      <c r="S127" s="650"/>
      <c r="T127" s="650"/>
      <c r="U127" s="650"/>
      <c r="V127" s="650"/>
      <c r="W127" s="650"/>
      <c r="X127" s="650"/>
      <c r="Y127" s="650"/>
      <c r="Z127" s="650"/>
      <c r="AA127" s="650"/>
      <c r="AB127" s="650"/>
    </row>
    <row r="128" spans="2:28" s="185" customFormat="1" x14ac:dyDescent="0.25">
      <c r="B128" s="757"/>
      <c r="D128" s="744"/>
      <c r="E128" s="647"/>
      <c r="F128" s="648"/>
      <c r="G128" s="649"/>
      <c r="H128" s="649"/>
      <c r="I128" s="650"/>
      <c r="J128" s="650"/>
      <c r="K128" s="650"/>
      <c r="L128" s="650"/>
      <c r="M128" s="650"/>
      <c r="N128" s="650"/>
      <c r="O128" s="650"/>
      <c r="P128" s="650"/>
      <c r="Q128" s="650"/>
      <c r="R128" s="650"/>
      <c r="S128" s="650"/>
      <c r="T128" s="650"/>
      <c r="U128" s="650"/>
      <c r="V128" s="650"/>
      <c r="W128" s="650"/>
      <c r="X128" s="650"/>
      <c r="Y128" s="650"/>
      <c r="Z128" s="650"/>
      <c r="AA128" s="650"/>
      <c r="AB128" s="650"/>
    </row>
    <row r="129" spans="2:28" s="185" customFormat="1" x14ac:dyDescent="0.25">
      <c r="B129" s="757"/>
      <c r="D129" s="744"/>
      <c r="E129" s="647"/>
      <c r="F129" s="648"/>
      <c r="G129" s="649"/>
      <c r="H129" s="649"/>
      <c r="I129" s="650" t="e">
        <f>IF(I123-I126&gt;=0,I123-I126,0)</f>
        <v>#DIV/0!</v>
      </c>
      <c r="J129" s="650" t="e">
        <f t="shared" ref="J129:AB129" si="20">IF(J123-J126&gt;=0,J123-J126,0)</f>
        <v>#DIV/0!</v>
      </c>
      <c r="K129" s="650" t="e">
        <f t="shared" si="20"/>
        <v>#DIV/0!</v>
      </c>
      <c r="L129" s="650" t="e">
        <f t="shared" si="20"/>
        <v>#DIV/0!</v>
      </c>
      <c r="M129" s="650" t="e">
        <f t="shared" si="20"/>
        <v>#DIV/0!</v>
      </c>
      <c r="N129" s="650" t="e">
        <f t="shared" si="20"/>
        <v>#DIV/0!</v>
      </c>
      <c r="O129" s="650" t="e">
        <f t="shared" si="20"/>
        <v>#DIV/0!</v>
      </c>
      <c r="P129" s="650" t="e">
        <f t="shared" si="20"/>
        <v>#DIV/0!</v>
      </c>
      <c r="Q129" s="650" t="e">
        <f t="shared" si="20"/>
        <v>#DIV/0!</v>
      </c>
      <c r="R129" s="650" t="e">
        <f t="shared" si="20"/>
        <v>#DIV/0!</v>
      </c>
      <c r="S129" s="650" t="e">
        <f t="shared" si="20"/>
        <v>#DIV/0!</v>
      </c>
      <c r="T129" s="650" t="e">
        <f t="shared" si="20"/>
        <v>#DIV/0!</v>
      </c>
      <c r="U129" s="650" t="e">
        <f t="shared" si="20"/>
        <v>#DIV/0!</v>
      </c>
      <c r="V129" s="650" t="e">
        <f t="shared" si="20"/>
        <v>#DIV/0!</v>
      </c>
      <c r="W129" s="650" t="e">
        <f t="shared" si="20"/>
        <v>#DIV/0!</v>
      </c>
      <c r="X129" s="650" t="e">
        <f t="shared" si="20"/>
        <v>#DIV/0!</v>
      </c>
      <c r="Y129" s="650" t="e">
        <f t="shared" si="20"/>
        <v>#DIV/0!</v>
      </c>
      <c r="Z129" s="650" t="e">
        <f t="shared" si="20"/>
        <v>#DIV/0!</v>
      </c>
      <c r="AA129" s="650" t="e">
        <f t="shared" si="20"/>
        <v>#DIV/0!</v>
      </c>
      <c r="AB129" s="650" t="e">
        <f t="shared" si="20"/>
        <v>#DIV/0!</v>
      </c>
    </row>
    <row r="130" spans="2:28" s="185" customFormat="1" x14ac:dyDescent="0.25">
      <c r="B130" s="757"/>
      <c r="D130" s="745"/>
      <c r="E130" s="494"/>
      <c r="F130" s="475"/>
      <c r="G130" s="476"/>
      <c r="H130" s="477" t="str">
        <f>'6 PEF'!D24</f>
        <v>Davek od dobička</v>
      </c>
      <c r="I130" s="651" t="e">
        <f>I129</f>
        <v>#DIV/0!</v>
      </c>
      <c r="J130" s="651" t="e">
        <f t="shared" ref="J130:AB130" si="21">J129</f>
        <v>#DIV/0!</v>
      </c>
      <c r="K130" s="651" t="e">
        <f t="shared" si="21"/>
        <v>#DIV/0!</v>
      </c>
      <c r="L130" s="651" t="e">
        <f t="shared" si="21"/>
        <v>#DIV/0!</v>
      </c>
      <c r="M130" s="651" t="e">
        <f t="shared" si="21"/>
        <v>#DIV/0!</v>
      </c>
      <c r="N130" s="651" t="e">
        <f t="shared" si="21"/>
        <v>#DIV/0!</v>
      </c>
      <c r="O130" s="651" t="e">
        <f t="shared" si="21"/>
        <v>#DIV/0!</v>
      </c>
      <c r="P130" s="651" t="e">
        <f t="shared" si="21"/>
        <v>#DIV/0!</v>
      </c>
      <c r="Q130" s="651" t="e">
        <f t="shared" si="21"/>
        <v>#DIV/0!</v>
      </c>
      <c r="R130" s="651" t="e">
        <f t="shared" si="21"/>
        <v>#DIV/0!</v>
      </c>
      <c r="S130" s="651" t="e">
        <f t="shared" si="21"/>
        <v>#DIV/0!</v>
      </c>
      <c r="T130" s="651" t="e">
        <f t="shared" si="21"/>
        <v>#DIV/0!</v>
      </c>
      <c r="U130" s="651" t="e">
        <f t="shared" si="21"/>
        <v>#DIV/0!</v>
      </c>
      <c r="V130" s="651" t="e">
        <f t="shared" si="21"/>
        <v>#DIV/0!</v>
      </c>
      <c r="W130" s="651" t="e">
        <f t="shared" si="21"/>
        <v>#DIV/0!</v>
      </c>
      <c r="X130" s="651" t="e">
        <f t="shared" si="21"/>
        <v>#DIV/0!</v>
      </c>
      <c r="Y130" s="651" t="e">
        <f t="shared" si="21"/>
        <v>#DIV/0!</v>
      </c>
      <c r="Z130" s="651" t="e">
        <f t="shared" si="21"/>
        <v>#DIV/0!</v>
      </c>
      <c r="AA130" s="651" t="e">
        <f t="shared" si="21"/>
        <v>#DIV/0!</v>
      </c>
      <c r="AB130" s="651" t="e">
        <f t="shared" si="21"/>
        <v>#DIV/0!</v>
      </c>
    </row>
  </sheetData>
  <sheetProtection password="D739" sheet="1" objects="1" scenarios="1" selectLockedCells="1"/>
  <mergeCells count="33">
    <mergeCell ref="B117:B130"/>
    <mergeCell ref="B69:B78"/>
    <mergeCell ref="B80:B88"/>
    <mergeCell ref="B90:B94"/>
    <mergeCell ref="B96:B100"/>
    <mergeCell ref="B102:B115"/>
    <mergeCell ref="B2:B19"/>
    <mergeCell ref="B21:B30"/>
    <mergeCell ref="B32:B47"/>
    <mergeCell ref="B49:B53"/>
    <mergeCell ref="B55:B67"/>
    <mergeCell ref="W21:AH21"/>
    <mergeCell ref="D124:D130"/>
    <mergeCell ref="D120:D123"/>
    <mergeCell ref="Q71:Y71"/>
    <mergeCell ref="D21:J21"/>
    <mergeCell ref="K21:V21"/>
    <mergeCell ref="E32:F33"/>
    <mergeCell ref="W32:X33"/>
    <mergeCell ref="I117:AB117"/>
    <mergeCell ref="D96:K96"/>
    <mergeCell ref="I102:AB102"/>
    <mergeCell ref="D105:D108"/>
    <mergeCell ref="D109:D115"/>
    <mergeCell ref="D2:L2"/>
    <mergeCell ref="G32:J33"/>
    <mergeCell ref="J49:V49"/>
    <mergeCell ref="K32:V32"/>
    <mergeCell ref="M2:N2"/>
    <mergeCell ref="I3:L4"/>
    <mergeCell ref="G3:H4"/>
    <mergeCell ref="F3:F4"/>
    <mergeCell ref="D3:E4"/>
  </mergeCells>
  <pageMargins left="0.7" right="0.7" top="0.75" bottom="0.75" header="0.3" footer="0.3"/>
  <pageSetup paperSize="9" orientation="portrait" r:id="rId1"/>
  <ignoredErrors>
    <ignoredError sqref="H8 J8 F8 J9 H9 F10:L10 F9 I9 F17 K9:L9 F14 F13 J13:L13 F12 H12 H14 H13 F11:H11 J11:L11 J12:L12 J14:L14 K16 J15:L15 L17 I17:J17 H16 H15 L16 J16" formula="1"/>
    <ignoredError sqref="K17:K19"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P146"/>
  <sheetViews>
    <sheetView zoomScale="115" zoomScaleNormal="115" workbookViewId="0">
      <selection activeCell="B2" sqref="B2"/>
    </sheetView>
  </sheetViews>
  <sheetFormatPr defaultRowHeight="12" x14ac:dyDescent="0.25"/>
  <cols>
    <col min="1" max="1" width="2.28515625" style="135" customWidth="1"/>
    <col min="2" max="16384" width="9.140625" style="135"/>
  </cols>
  <sheetData>
    <row r="1" spans="2:42" s="168" customFormat="1" ht="11.25" x14ac:dyDescent="0.25"/>
    <row r="2" spans="2:42" s="133" customFormat="1" ht="33.75" x14ac:dyDescent="0.25">
      <c r="B2" s="134" t="str">
        <f>Translation!C53</f>
        <v>Neto uporabna površina</v>
      </c>
      <c r="C2" s="134" t="str">
        <f>Translation!C56</f>
        <v>Bruto tlorisna površina</v>
      </c>
      <c r="D2" s="764" t="str">
        <f>Translation!C55</f>
        <v>Povprečna debelina zunanjih sten</v>
      </c>
      <c r="E2" s="764"/>
      <c r="F2" s="134"/>
      <c r="G2" s="134" t="str">
        <f>B2</f>
        <v>Neto uporabna površina</v>
      </c>
      <c r="H2" s="134" t="str">
        <f>C2</f>
        <v>Bruto tlorisna površina</v>
      </c>
      <c r="I2" s="134" t="str">
        <f>Translation!C52</f>
        <v xml:space="preserve">Ogrevani volumen </v>
      </c>
      <c r="J2" s="134"/>
      <c r="K2" s="134"/>
      <c r="L2" s="134" t="str">
        <f>Translation!C54</f>
        <v xml:space="preserve">Št. ogrevanih nadstropij </v>
      </c>
      <c r="M2" s="134" t="str">
        <f>Translation!C51</f>
        <v>Leto igradnje</v>
      </c>
      <c r="O2" s="768"/>
      <c r="P2" s="753" t="str">
        <f>M2</f>
        <v>Leto igradnje</v>
      </c>
      <c r="Q2" s="753"/>
      <c r="R2" s="753"/>
      <c r="S2" s="753"/>
      <c r="T2" s="753"/>
      <c r="U2" s="753"/>
      <c r="V2" s="753"/>
      <c r="W2" s="753"/>
      <c r="X2" s="753"/>
      <c r="Y2" s="753"/>
    </row>
    <row r="3" spans="2:42" s="165" customFormat="1" ht="15" customHeight="1" x14ac:dyDescent="0.25">
      <c r="B3" s="180" t="s">
        <v>295</v>
      </c>
      <c r="C3" s="180" t="s">
        <v>296</v>
      </c>
      <c r="D3" s="765" t="s">
        <v>297</v>
      </c>
      <c r="E3" s="765"/>
      <c r="F3" s="180" t="s">
        <v>302</v>
      </c>
      <c r="G3" s="180" t="s">
        <v>295</v>
      </c>
      <c r="H3" s="180" t="s">
        <v>296</v>
      </c>
      <c r="I3" s="180" t="s">
        <v>298</v>
      </c>
      <c r="J3" s="180" t="s">
        <v>300</v>
      </c>
      <c r="K3" s="180" t="s">
        <v>299</v>
      </c>
      <c r="L3" s="180"/>
      <c r="M3" s="180"/>
      <c r="O3" s="769"/>
      <c r="P3" s="156">
        <f>Parameters!G69</f>
        <v>1930</v>
      </c>
      <c r="Q3" s="156">
        <f>Parameters!H69</f>
        <v>1950</v>
      </c>
      <c r="R3" s="156">
        <f>Parameters!I69</f>
        <v>1960</v>
      </c>
      <c r="S3" s="156">
        <f>Parameters!J69</f>
        <v>1970</v>
      </c>
      <c r="T3" s="156">
        <f>Parameters!K69</f>
        <v>1980</v>
      </c>
      <c r="U3" s="156">
        <f>Parameters!L69</f>
        <v>1990</v>
      </c>
      <c r="V3" s="156">
        <f>Parameters!M69</f>
        <v>2005</v>
      </c>
      <c r="W3" s="156">
        <f>Parameters!N69</f>
        <v>2010</v>
      </c>
      <c r="X3" s="172" t="str">
        <f>Parameters!O69</f>
        <v>&gt; 2010</v>
      </c>
      <c r="Y3" s="156"/>
    </row>
    <row r="4" spans="2:42" ht="15" customHeight="1" x14ac:dyDescent="0.25">
      <c r="B4" s="156" t="str">
        <f>Translation!$C$7</f>
        <v>m²</v>
      </c>
      <c r="C4" s="156" t="str">
        <f>Translation!$C$7</f>
        <v>m²</v>
      </c>
      <c r="D4" s="728" t="str">
        <f>Translation!$C$8</f>
        <v>cm</v>
      </c>
      <c r="E4" s="728"/>
      <c r="F4" s="156" t="s">
        <v>290</v>
      </c>
      <c r="G4" s="156" t="str">
        <f>Translation!$C$7</f>
        <v>m²</v>
      </c>
      <c r="H4" s="156" t="str">
        <f>Translation!$C$7</f>
        <v>m²</v>
      </c>
      <c r="I4" s="156" t="str">
        <f>Translation!$C$6</f>
        <v>m³</v>
      </c>
      <c r="J4" s="156" t="s">
        <v>290</v>
      </c>
      <c r="K4" s="156" t="str">
        <f>Translation!$C$6</f>
        <v>m³</v>
      </c>
      <c r="L4" s="156"/>
      <c r="M4" s="156">
        <f>IF(M5&lt;=P3,P3,IF(M5&lt;=U3,CEILING(M5,10),IF(M5&lt;=V3,V3,IF(M5&lt;=W3,W3,X3))))</f>
        <v>1930</v>
      </c>
      <c r="O4" s="180" t="s">
        <v>297</v>
      </c>
      <c r="P4" s="156">
        <f>Parameters!G70</f>
        <v>50</v>
      </c>
      <c r="Q4" s="156">
        <f>Parameters!H70</f>
        <v>50</v>
      </c>
      <c r="R4" s="156">
        <f>Parameters!I70</f>
        <v>45</v>
      </c>
      <c r="S4" s="156">
        <f>Parameters!J70</f>
        <v>45</v>
      </c>
      <c r="T4" s="156">
        <f>Parameters!K70</f>
        <v>40</v>
      </c>
      <c r="U4" s="156">
        <f>Parameters!L70</f>
        <v>40</v>
      </c>
      <c r="V4" s="156">
        <f>Parameters!M70</f>
        <v>35</v>
      </c>
      <c r="W4" s="156">
        <f>Parameters!N70</f>
        <v>40</v>
      </c>
      <c r="X4" s="156">
        <f>Parameters!O70</f>
        <v>45</v>
      </c>
      <c r="Y4" s="156" t="str">
        <f>Parameters!P70</f>
        <v>cm</v>
      </c>
    </row>
    <row r="5" spans="2:42" ht="15" customHeight="1" x14ac:dyDescent="0.25">
      <c r="B5" s="193" t="str">
        <f>IF('2'!D33="","",'2'!D33)</f>
        <v/>
      </c>
      <c r="C5" s="193" t="str">
        <f>IF('2'!H33="","",'2'!H33)</f>
        <v/>
      </c>
      <c r="D5" s="193" t="str">
        <f>IF('2'!K33="","",'2'!K33)</f>
        <v/>
      </c>
      <c r="E5" s="138">
        <f>IF(D5="",HLOOKUP(M4,P3:X4,2,FALSE),D5)</f>
        <v>50</v>
      </c>
      <c r="F5" s="170">
        <f>0.9761-(0.3055*(E5/100))</f>
        <v>0.82335000000000003</v>
      </c>
      <c r="G5" s="169" t="e">
        <f>IF(B5="",C5*F5,B5)</f>
        <v>#VALUE!</v>
      </c>
      <c r="H5" s="169" t="e">
        <f>IF(C5="",B5/F5,C5)</f>
        <v>#VALUE!</v>
      </c>
      <c r="I5" s="193">
        <f>'2'!D37</f>
        <v>0</v>
      </c>
      <c r="J5" s="171">
        <f>IF(D19=D21,(Parameters!J55+Parameters!J56)/(2*Parameters!J56),Parameters!J55/Parameters!J56)</f>
        <v>0.88235294117647056</v>
      </c>
      <c r="K5" s="169">
        <f>I5*(J5*F5)</f>
        <v>0</v>
      </c>
      <c r="L5" s="194">
        <f>'2'!H37</f>
        <v>0</v>
      </c>
      <c r="M5" s="194">
        <f>'2'!H29</f>
        <v>0</v>
      </c>
      <c r="N5" s="165"/>
      <c r="O5" s="180" t="s">
        <v>322</v>
      </c>
      <c r="P5" s="156">
        <f>Parameters!G71</f>
        <v>10</v>
      </c>
      <c r="Q5" s="156">
        <f>Parameters!H71</f>
        <v>12.5</v>
      </c>
      <c r="R5" s="156">
        <f>Parameters!I71</f>
        <v>12.5</v>
      </c>
      <c r="S5" s="156">
        <f>Parameters!J71</f>
        <v>15</v>
      </c>
      <c r="T5" s="156">
        <f>Parameters!K71</f>
        <v>18</v>
      </c>
      <c r="U5" s="156">
        <f>Parameters!L71</f>
        <v>18</v>
      </c>
      <c r="V5" s="156">
        <f>Parameters!M71</f>
        <v>20</v>
      </c>
      <c r="W5" s="156">
        <f>Parameters!N71</f>
        <v>25</v>
      </c>
      <c r="X5" s="156">
        <f>Parameters!O71</f>
        <v>25</v>
      </c>
      <c r="Y5" s="156" t="str">
        <f>Parameters!P71</f>
        <v>%</v>
      </c>
    </row>
    <row r="6" spans="2:42" ht="15" customHeight="1" x14ac:dyDescent="0.25"/>
    <row r="7" spans="2:42" x14ac:dyDescent="0.25">
      <c r="B7" s="761" t="str">
        <f>'F+T Translation'!$B$62</f>
        <v>Geometrijski model stavbe</v>
      </c>
      <c r="C7" s="763"/>
      <c r="D7" s="763"/>
      <c r="E7" s="763"/>
      <c r="F7" s="763"/>
      <c r="G7" s="763"/>
      <c r="H7" s="763"/>
      <c r="I7" s="763"/>
      <c r="J7" s="763"/>
      <c r="K7" s="763"/>
      <c r="L7" s="763"/>
      <c r="M7" s="762"/>
      <c r="O7" s="753" t="str">
        <f>B7</f>
        <v>Geometrijski model stavbe</v>
      </c>
      <c r="P7" s="753"/>
      <c r="Q7" s="753"/>
      <c r="R7" s="753"/>
      <c r="S7" s="753"/>
      <c r="T7" s="753"/>
      <c r="U7" s="753"/>
      <c r="V7" s="753"/>
      <c r="W7" s="753"/>
      <c r="X7" s="753"/>
      <c r="Y7" s="753"/>
    </row>
    <row r="8" spans="2:42" s="133" customFormat="1" ht="33.75" customHeight="1" x14ac:dyDescent="0.25">
      <c r="B8" s="134" t="str">
        <f>'F+T Translation'!$B$51</f>
        <v>Bruto površina kletne etaže</v>
      </c>
      <c r="C8" s="134" t="str">
        <f>'F+T Translation'!$B$52</f>
        <v>Bruto površina strehe</v>
      </c>
      <c r="D8" s="134" t="str">
        <f>'F+T Translation'!B58</f>
        <v>Površina oken</v>
      </c>
      <c r="E8" s="134" t="str">
        <f>'F+T Translation'!$B$56&amp;" ("&amp;'F+T Translation'!$B$43&amp;")"</f>
        <v>Površina zidov (V)</v>
      </c>
      <c r="F8" s="134" t="str">
        <f>'F+T Translation'!B56&amp;" ("&amp;'F+T Translation'!$B$45&amp;")"</f>
        <v>Površina zidov (Z)</v>
      </c>
      <c r="G8" s="134" t="str">
        <f>'F+T Translation'!B56&amp;" ("&amp;'F+T Translation'!$B$44&amp;")"</f>
        <v>Površina zidov (J)</v>
      </c>
      <c r="H8" s="134" t="str">
        <f>'F+T Translation'!B56&amp;" ("&amp;'F+T Translation'!$B$42&amp;")"</f>
        <v>Površina zidov (S)</v>
      </c>
      <c r="I8" s="134" t="str">
        <f>'F+T Translation'!$B$58&amp;" ("&amp;'F+T Translation'!$B$43&amp;")"</f>
        <v>Površina oken (V)</v>
      </c>
      <c r="J8" s="134" t="str">
        <f>'F+T Translation'!B58&amp;" ("&amp;'F+T Translation'!$B$45&amp;")"</f>
        <v>Površina oken (Z)</v>
      </c>
      <c r="K8" s="134" t="str">
        <f>'F+T Translation'!B58&amp;" ("&amp;'F+T Translation'!$B$44&amp;")"</f>
        <v>Površina oken (J)</v>
      </c>
      <c r="L8" s="134" t="str">
        <f>'F+T Translation'!B58&amp;" ("&amp;'F+T Translation'!$B$42&amp;")"</f>
        <v>Površina oken (S)</v>
      </c>
      <c r="M8" s="134" t="str">
        <f>'F+T Translation'!B59</f>
        <v>Faktor oblike</v>
      </c>
      <c r="O8" s="187" t="str">
        <f>Q14</f>
        <v>Površina zidov</v>
      </c>
      <c r="P8" s="134" t="str">
        <f>'F+T Translation'!B53</f>
        <v>Bruto višina stavbe</v>
      </c>
      <c r="Q8" s="764" t="str">
        <f>'F+T Translation'!$B$54</f>
        <v>Dimenzije stavbe</v>
      </c>
      <c r="R8" s="764"/>
      <c r="S8" s="764" t="str">
        <f>'F+T Translation'!$B$54</f>
        <v>Dimenzije stavbe</v>
      </c>
      <c r="T8" s="764"/>
      <c r="U8" s="764" t="str">
        <f>'F+T Translation'!B56&amp;" + "&amp;'F+T Translation'!B58</f>
        <v>Površina zidov + Površina oken</v>
      </c>
      <c r="V8" s="764"/>
      <c r="W8" s="134" t="str">
        <f>Translation!C45</f>
        <v>Samostoječa stavba</v>
      </c>
      <c r="X8" s="134" t="str">
        <f>Translation!C46</f>
        <v>Povezana na eni strani</v>
      </c>
      <c r="Y8" s="134" t="str">
        <f>Translation!C47</f>
        <v>Povezana na obeh straneh</v>
      </c>
      <c r="Z8" s="207"/>
    </row>
    <row r="9" spans="2:42" ht="15" customHeight="1" x14ac:dyDescent="0.25">
      <c r="B9" s="156" t="s">
        <v>306</v>
      </c>
      <c r="C9" s="156" t="s">
        <v>310</v>
      </c>
      <c r="D9" s="156" t="s">
        <v>326</v>
      </c>
      <c r="E9" s="156" t="s">
        <v>327</v>
      </c>
      <c r="F9" s="156" t="s">
        <v>328</v>
      </c>
      <c r="G9" s="156" t="s">
        <v>329</v>
      </c>
      <c r="H9" s="156" t="s">
        <v>330</v>
      </c>
      <c r="I9" s="156" t="s">
        <v>331</v>
      </c>
      <c r="J9" s="156" t="s">
        <v>332</v>
      </c>
      <c r="K9" s="156" t="s">
        <v>333</v>
      </c>
      <c r="L9" s="156" t="s">
        <v>334</v>
      </c>
      <c r="M9" s="156" t="s">
        <v>321</v>
      </c>
      <c r="O9" s="172" t="s">
        <v>325</v>
      </c>
      <c r="P9" s="156" t="s">
        <v>312</v>
      </c>
      <c r="Q9" s="156" t="s">
        <v>316</v>
      </c>
      <c r="R9" s="156" t="s">
        <v>317</v>
      </c>
      <c r="S9" s="156" t="s">
        <v>314</v>
      </c>
      <c r="T9" s="156" t="s">
        <v>315</v>
      </c>
      <c r="U9" s="156" t="s">
        <v>314</v>
      </c>
      <c r="V9" s="156" t="s">
        <v>315</v>
      </c>
      <c r="W9" s="156"/>
      <c r="X9" s="156"/>
      <c r="Y9" s="156"/>
      <c r="Z9" s="208"/>
      <c r="AK9" s="184"/>
    </row>
    <row r="10" spans="2:42" ht="15" customHeight="1" x14ac:dyDescent="0.25">
      <c r="B10" s="156" t="str">
        <f>Translation!$C$7</f>
        <v>m²</v>
      </c>
      <c r="C10" s="156" t="str">
        <f>Translation!$C$7</f>
        <v>m²</v>
      </c>
      <c r="D10" s="156" t="s">
        <v>27</v>
      </c>
      <c r="E10" s="156" t="str">
        <f>Translation!$C$7</f>
        <v>m²</v>
      </c>
      <c r="F10" s="156" t="str">
        <f>Translation!$C$7</f>
        <v>m²</v>
      </c>
      <c r="G10" s="156" t="str">
        <f>Translation!$C$7</f>
        <v>m²</v>
      </c>
      <c r="H10" s="156" t="str">
        <f>Translation!$C$7</f>
        <v>m²</v>
      </c>
      <c r="I10" s="156" t="str">
        <f>Translation!$C$7</f>
        <v>m²</v>
      </c>
      <c r="J10" s="156" t="str">
        <f>Translation!$C$7</f>
        <v>m²</v>
      </c>
      <c r="K10" s="156" t="str">
        <f>Translation!$C$7</f>
        <v>m²</v>
      </c>
      <c r="L10" s="156" t="str">
        <f>Translation!$C$7</f>
        <v>m²</v>
      </c>
      <c r="M10" s="156" t="str">
        <f>"1/"&amp;Translation!C9</f>
        <v>1/m</v>
      </c>
      <c r="O10" s="172" t="str">
        <f>Translation!$C$7</f>
        <v>m²</v>
      </c>
      <c r="P10" s="156" t="str">
        <f>Translation!$C$9</f>
        <v>m</v>
      </c>
      <c r="Q10" s="156" t="str">
        <f>Translation!$C$9</f>
        <v>m</v>
      </c>
      <c r="R10" s="156" t="str">
        <f>Translation!$C$9</f>
        <v>m</v>
      </c>
      <c r="S10" s="156" t="str">
        <f>Translation!$C$9</f>
        <v>m</v>
      </c>
      <c r="T10" s="156" t="str">
        <f>Translation!$C$9</f>
        <v>m</v>
      </c>
      <c r="U10" s="156" t="str">
        <f>Translation!$C$7</f>
        <v>m²</v>
      </c>
      <c r="V10" s="156" t="str">
        <f>Translation!$C$7</f>
        <v>m²</v>
      </c>
      <c r="W10" s="156">
        <f>VLOOKUP(W8,'2'!$C$100:$F$105,4,FALSE)</f>
        <v>1</v>
      </c>
      <c r="X10" s="156">
        <f>VLOOKUP(X8,'2'!$C$100:$F$105,4,FALSE)</f>
        <v>2</v>
      </c>
      <c r="Y10" s="156">
        <f>VLOOKUP(Y8,'2'!$C$100:$F$105,4,FALSE)</f>
        <v>3</v>
      </c>
      <c r="Z10" s="208"/>
      <c r="AK10" s="184"/>
    </row>
    <row r="11" spans="2:42" ht="15" customHeight="1" x14ac:dyDescent="0.25">
      <c r="B11" s="169" t="e">
        <f>H5/L5</f>
        <v>#VALUE!</v>
      </c>
      <c r="C11" s="169" t="e">
        <f>B11</f>
        <v>#VALUE!</v>
      </c>
      <c r="D11" s="156">
        <f>HLOOKUP(M4,P3:X5,3,FALSE)</f>
        <v>10</v>
      </c>
      <c r="E11" s="169" t="e">
        <f>U11-(U11*D11/100)</f>
        <v>#VALUE!</v>
      </c>
      <c r="F11" s="169" t="e">
        <f>E11</f>
        <v>#VALUE!</v>
      </c>
      <c r="G11" s="169" t="e">
        <f>IF(W11="x",V11-(V11*D11/100),IF(X11="x",(V11-(V11*D11/100))/2,0))</f>
        <v>#VALUE!</v>
      </c>
      <c r="H11" s="169" t="e">
        <f>G11</f>
        <v>#VALUE!</v>
      </c>
      <c r="I11" s="169" t="e">
        <f>U11-E11</f>
        <v>#VALUE!</v>
      </c>
      <c r="J11" s="188" t="e">
        <f>I11</f>
        <v>#VALUE!</v>
      </c>
      <c r="K11" s="169" t="e">
        <f>IF(W11="x",V11*D11/100,IF(X11="x",(V11*D11/100)/2,0))</f>
        <v>#VALUE!</v>
      </c>
      <c r="L11" s="169" t="e">
        <f>K11</f>
        <v>#VALUE!</v>
      </c>
      <c r="M11" s="188" t="e">
        <f>(B11+C11+E11+F11+G11+H11+I11+J11+K11+L11)/I5</f>
        <v>#VALUE!</v>
      </c>
      <c r="O11" s="169" t="e">
        <f>SUM(E11:H11)</f>
        <v>#VALUE!</v>
      </c>
      <c r="P11" s="156">
        <f>IF(D19=D21,L5*Parameters!J56*2,L5*Parameters!J56)</f>
        <v>0</v>
      </c>
      <c r="Q11" s="188">
        <f>Parameters!J57</f>
        <v>14</v>
      </c>
      <c r="R11" s="169" t="e">
        <f>SQRT(B11/Parameters!K58)</f>
        <v>#VALUE!</v>
      </c>
      <c r="S11" s="169" t="e">
        <f>B11/T11</f>
        <v>#VALUE!</v>
      </c>
      <c r="T11" s="188" t="e">
        <f>MIN(Q11,R11)</f>
        <v>#VALUE!</v>
      </c>
      <c r="U11" s="169" t="e">
        <f>S11*P11</f>
        <v>#VALUE!</v>
      </c>
      <c r="V11" s="169" t="e">
        <f>T11*P11</f>
        <v>#VALUE!</v>
      </c>
      <c r="W11" s="195" t="str">
        <f>IF(W10='2'!$E$99,"x","")</f>
        <v>x</v>
      </c>
      <c r="X11" s="195" t="str">
        <f>IF(X10='2'!$E$99,"x","")</f>
        <v/>
      </c>
      <c r="Y11" s="195" t="str">
        <f>IF(Y10='2'!$E$99,"x","")</f>
        <v/>
      </c>
      <c r="Z11" s="209"/>
      <c r="AK11" s="184"/>
    </row>
    <row r="12" spans="2:42" ht="15" customHeight="1" x14ac:dyDescent="0.25"/>
    <row r="13" spans="2:42" x14ac:dyDescent="0.25">
      <c r="B13" s="761" t="str">
        <f>'F+T Translation'!B63</f>
        <v>Definicija površin za vgradnjo</v>
      </c>
      <c r="C13" s="763"/>
      <c r="D13" s="763"/>
      <c r="E13" s="763"/>
      <c r="F13" s="763"/>
      <c r="G13" s="763"/>
      <c r="H13" s="763"/>
      <c r="I13" s="763"/>
      <c r="J13" s="763"/>
      <c r="K13" s="763"/>
      <c r="L13" s="763"/>
      <c r="M13" s="762"/>
      <c r="O13" s="761" t="str">
        <f>B13</f>
        <v>Definicija površin za vgradnjo</v>
      </c>
      <c r="P13" s="763"/>
      <c r="Q13" s="763"/>
      <c r="R13" s="763"/>
      <c r="S13" s="763"/>
      <c r="T13" s="763"/>
      <c r="U13" s="763"/>
      <c r="V13" s="763"/>
      <c r="W13" s="763"/>
      <c r="X13" s="763"/>
      <c r="Y13" s="762"/>
      <c r="AD13" s="302"/>
      <c r="AE13" s="302"/>
      <c r="AF13" s="302"/>
      <c r="AG13" s="302"/>
      <c r="AH13" s="302"/>
      <c r="AI13" s="302"/>
      <c r="AJ13" s="302"/>
      <c r="AK13" s="302"/>
      <c r="AL13" s="302"/>
      <c r="AM13" s="302"/>
      <c r="AN13" s="302"/>
      <c r="AO13" s="302"/>
      <c r="AP13" s="302"/>
    </row>
    <row r="14" spans="2:42" s="133" customFormat="1" ht="33.75" customHeight="1" thickBot="1" x14ac:dyDescent="0.3">
      <c r="B14" s="766" t="str">
        <f>'F+T Translation'!$B$51</f>
        <v>Bruto površina kletne etaže</v>
      </c>
      <c r="C14" s="767"/>
      <c r="D14" s="764" t="str">
        <f>'F+T Translation'!$B$52</f>
        <v>Bruto površina strehe</v>
      </c>
      <c r="E14" s="764"/>
      <c r="F14" s="764"/>
      <c r="G14" s="187" t="s">
        <v>370</v>
      </c>
      <c r="H14" s="766" t="str">
        <f>'F+T Translation'!$B$56</f>
        <v>Površina zidov</v>
      </c>
      <c r="I14" s="770"/>
      <c r="J14" s="767"/>
      <c r="K14" s="187" t="s">
        <v>370</v>
      </c>
      <c r="L14" s="766" t="str">
        <f>'F+T Translation'!$B$58</f>
        <v>Površina oken</v>
      </c>
      <c r="M14" s="767"/>
      <c r="N14" s="200"/>
      <c r="O14" s="134" t="str">
        <f>'F+T Translation'!$B$51</f>
        <v>Bruto površina kletne etaže</v>
      </c>
      <c r="P14" s="134" t="str">
        <f>'F+T Translation'!$B$52</f>
        <v>Bruto površina strehe</v>
      </c>
      <c r="Q14" s="134" t="str">
        <f>W14</f>
        <v>Površina zidov</v>
      </c>
      <c r="R14" s="192" t="str">
        <f>Y14</f>
        <v>Površina oken</v>
      </c>
      <c r="S14" s="263" t="str">
        <f>'F+T Translation'!B83</f>
        <v>Delež okvirjev na celotni površini oken</v>
      </c>
      <c r="T14" s="159" t="str">
        <f>'F+T Translation'!$B$51</f>
        <v>Bruto površina kletne etaže</v>
      </c>
      <c r="U14" s="134" t="str">
        <f>'F+T Translation'!$B$52</f>
        <v>Bruto površina strehe</v>
      </c>
      <c r="V14" s="134" t="str">
        <f>'F+T Translation'!$B$52&amp;" ("&amp;'F+T Translation'!B61&amp;")"</f>
        <v>Bruto površina strehe (Podstrešje)</v>
      </c>
      <c r="W14" s="134" t="str">
        <f>'F+T Translation'!$B$56</f>
        <v>Površina zidov</v>
      </c>
      <c r="X14" s="134" t="str">
        <f>'F+T Translation'!B56</f>
        <v>Površina zidov</v>
      </c>
      <c r="Y14" s="134" t="str">
        <f>'F+T Translation'!B58</f>
        <v>Površina oken</v>
      </c>
      <c r="AA14" s="581" t="str">
        <f>M8</f>
        <v>Faktor oblike</v>
      </c>
      <c r="AH14" s="302"/>
      <c r="AI14" s="302"/>
      <c r="AJ14" s="302"/>
      <c r="AK14" s="302"/>
      <c r="AL14" s="302"/>
      <c r="AM14" s="302"/>
      <c r="AN14" s="302"/>
      <c r="AO14" s="302"/>
      <c r="AP14" s="302"/>
    </row>
    <row r="15" spans="2:42" ht="15" customHeight="1" thickTop="1" thickBot="1" x14ac:dyDescent="0.3">
      <c r="B15" s="156" t="s">
        <v>336</v>
      </c>
      <c r="C15" s="156" t="s">
        <v>337</v>
      </c>
      <c r="D15" s="156" t="s">
        <v>339</v>
      </c>
      <c r="E15" s="156" t="s">
        <v>338</v>
      </c>
      <c r="F15" s="156" t="s">
        <v>340</v>
      </c>
      <c r="G15" s="172" t="s">
        <v>1834</v>
      </c>
      <c r="H15" s="156" t="s">
        <v>341</v>
      </c>
      <c r="I15" s="156" t="s">
        <v>342</v>
      </c>
      <c r="J15" s="156" t="s">
        <v>343</v>
      </c>
      <c r="K15" s="172" t="s">
        <v>1828</v>
      </c>
      <c r="L15" s="156" t="s">
        <v>344</v>
      </c>
      <c r="M15" s="156" t="s">
        <v>345</v>
      </c>
      <c r="N15" s="201"/>
      <c r="O15" s="156" t="s">
        <v>306</v>
      </c>
      <c r="P15" s="156" t="s">
        <v>1834</v>
      </c>
      <c r="Q15" s="172" t="s">
        <v>1828</v>
      </c>
      <c r="R15" s="173" t="s">
        <v>326</v>
      </c>
      <c r="S15" s="264" t="s">
        <v>439</v>
      </c>
      <c r="T15" s="142" t="s">
        <v>306</v>
      </c>
      <c r="U15" s="156" t="s">
        <v>1832</v>
      </c>
      <c r="V15" s="156" t="s">
        <v>1833</v>
      </c>
      <c r="W15" s="156" t="s">
        <v>1831</v>
      </c>
      <c r="X15" s="156" t="s">
        <v>1830</v>
      </c>
      <c r="Y15" s="156" t="s">
        <v>326</v>
      </c>
      <c r="AA15" s="572" t="s">
        <v>1836</v>
      </c>
      <c r="AC15" s="169" t="s">
        <v>1828</v>
      </c>
      <c r="AD15" s="169" t="e">
        <f>IF(W18=1,W17,O11)</f>
        <v>#VALUE!</v>
      </c>
      <c r="AE15" s="169" t="e">
        <f>IF(X18=1,IF(W18=1,W17,X17),AD15)</f>
        <v>#VALUE!</v>
      </c>
      <c r="AF15" s="573">
        <f>IF(AND(W18=2,X18=2),W17+X17,0)</f>
        <v>0</v>
      </c>
      <c r="AG15" s="574" t="e">
        <f>IF(AND(AF15&lt;(O11*(1+Q16)),AF15&gt;(O11*(1-Q16))),AF15,AE15)</f>
        <v>#VALUE!</v>
      </c>
      <c r="AH15" s="575" t="e">
        <f>IF(AE16+AE17&lt;AG15,AG15-(AE16+AE17),AG15)</f>
        <v>#VALUE!</v>
      </c>
      <c r="AI15" s="577" t="s">
        <v>341</v>
      </c>
      <c r="AJ15" s="578" t="e">
        <f>AG15-(AJ16+AJ17)</f>
        <v>#VALUE!</v>
      </c>
      <c r="AK15" s="302"/>
      <c r="AL15" s="302"/>
      <c r="AM15" s="302"/>
      <c r="AN15" s="302"/>
      <c r="AO15" s="302"/>
      <c r="AP15" s="302"/>
    </row>
    <row r="16" spans="2:42" ht="15" customHeight="1" thickTop="1" x14ac:dyDescent="0.25">
      <c r="B16" s="156" t="str">
        <f>Translation!$C$7</f>
        <v>m²</v>
      </c>
      <c r="C16" s="156" t="str">
        <f>Translation!$C$7</f>
        <v>m²</v>
      </c>
      <c r="D16" s="156" t="str">
        <f>Translation!$C$7</f>
        <v>m²</v>
      </c>
      <c r="E16" s="156" t="str">
        <f>Translation!$C$7</f>
        <v>m²</v>
      </c>
      <c r="F16" s="156" t="str">
        <f>Translation!$C$7</f>
        <v>m²</v>
      </c>
      <c r="G16" s="172" t="str">
        <f>Translation!$C$7</f>
        <v>m²</v>
      </c>
      <c r="H16" s="156" t="str">
        <f>Translation!$C$7</f>
        <v>m²</v>
      </c>
      <c r="I16" s="156" t="str">
        <f>Translation!$C$7</f>
        <v>m²</v>
      </c>
      <c r="J16" s="156" t="str">
        <f>Translation!$C$7</f>
        <v>m²</v>
      </c>
      <c r="K16" s="172" t="str">
        <f>Translation!$C$7</f>
        <v>m²</v>
      </c>
      <c r="L16" s="156" t="str">
        <f>Translation!$C$7</f>
        <v>m²</v>
      </c>
      <c r="M16" s="156" t="str">
        <f>Translation!$C$7</f>
        <v>m²</v>
      </c>
      <c r="N16" s="248" t="str">
        <f>'F+T Translation'!B64&amp;":"</f>
        <v>Toleranca:</v>
      </c>
      <c r="O16" s="260"/>
      <c r="P16" s="188">
        <v>0.15</v>
      </c>
      <c r="Q16" s="188">
        <v>0.15</v>
      </c>
      <c r="R16" s="261"/>
      <c r="S16" s="265" t="s">
        <v>27</v>
      </c>
      <c r="T16" s="142" t="str">
        <f>Translation!$C$7</f>
        <v>m²</v>
      </c>
      <c r="U16" s="156" t="str">
        <f>Translation!$C$7</f>
        <v>m²</v>
      </c>
      <c r="V16" s="156" t="str">
        <f>Translation!$C$7</f>
        <v>m²</v>
      </c>
      <c r="W16" s="156" t="str">
        <f>Translation!$C$7</f>
        <v>m²</v>
      </c>
      <c r="X16" s="156" t="str">
        <f>Translation!$C$7</f>
        <v>m²</v>
      </c>
      <c r="Y16" s="156" t="str">
        <f>Translation!$C$7</f>
        <v>m²</v>
      </c>
      <c r="AA16" s="572" t="str">
        <f>"1/"&amp;Translation!C9</f>
        <v>1/m</v>
      </c>
      <c r="AC16" s="169" t="s">
        <v>1829</v>
      </c>
      <c r="AD16" s="169">
        <f>IF(W18=1,W17,0)</f>
        <v>0</v>
      </c>
      <c r="AE16" s="169">
        <f>IF(W18=2,W17,AD16)</f>
        <v>0</v>
      </c>
      <c r="AF16" s="169" t="e">
        <f>IF(AE16+AE17=AG15,AE16,0)</f>
        <v>#VALUE!</v>
      </c>
      <c r="AG16" s="280" t="e">
        <f>IF(AE16+AE17&gt;AG15,AE16,0)</f>
        <v>#VALUE!</v>
      </c>
      <c r="AH16" s="573" t="e">
        <f>IF(AE16+AE17&lt;AG15,AE16,0)</f>
        <v>#VALUE!</v>
      </c>
      <c r="AI16" s="571" t="s">
        <v>342</v>
      </c>
      <c r="AJ16" s="245" t="e">
        <f>MAX(AF16:AH16)</f>
        <v>#VALUE!</v>
      </c>
      <c r="AK16" s="302"/>
      <c r="AL16" s="302"/>
      <c r="AM16" s="302"/>
      <c r="AN16" s="302"/>
      <c r="AO16" s="302"/>
      <c r="AP16" s="302"/>
    </row>
    <row r="17" spans="2:42" ht="15" customHeight="1" x14ac:dyDescent="0.25">
      <c r="B17" s="191" t="e">
        <f>O17-C17</f>
        <v>#VALUE!</v>
      </c>
      <c r="C17" s="191">
        <f>IF(T18=0,0,T17)</f>
        <v>0</v>
      </c>
      <c r="D17" s="169" t="e">
        <f>AJ20</f>
        <v>#VALUE!</v>
      </c>
      <c r="E17" s="169" t="e">
        <f>AJ21</f>
        <v>#VALUE!</v>
      </c>
      <c r="F17" s="169" t="e">
        <f>AJ22</f>
        <v>#VALUE!</v>
      </c>
      <c r="G17" s="169" t="e">
        <f>SUM(D17:F17)</f>
        <v>#VALUE!</v>
      </c>
      <c r="H17" s="169" t="e">
        <f>AJ15</f>
        <v>#VALUE!</v>
      </c>
      <c r="I17" s="191" t="e">
        <f>AJ16</f>
        <v>#VALUE!</v>
      </c>
      <c r="J17" s="191" t="e">
        <f>AJ17</f>
        <v>#VALUE!</v>
      </c>
      <c r="K17" s="191" t="e">
        <f>SUM(H17:J17)</f>
        <v>#VALUE!</v>
      </c>
      <c r="L17" s="169" t="e">
        <f>R17-M17</f>
        <v>#VALUE!</v>
      </c>
      <c r="M17" s="169">
        <f>IF(Y18=0,0,Y17)</f>
        <v>0</v>
      </c>
      <c r="N17" s="202"/>
      <c r="O17" s="191" t="e">
        <f>IF(T18=1,T17,B11)</f>
        <v>#VALUE!</v>
      </c>
      <c r="P17" s="191" t="e">
        <f>AG20</f>
        <v>#VALUE!</v>
      </c>
      <c r="Q17" s="191" t="e">
        <f>AG15</f>
        <v>#VALUE!</v>
      </c>
      <c r="R17" s="262" t="e">
        <f>IF(Y18=1,Y17,SUM(I11:L11))</f>
        <v>#VALUE!</v>
      </c>
      <c r="S17" s="266">
        <f>HLOOKUP(M4,Parameters!G69:O72,4,FALSE)</f>
        <v>25</v>
      </c>
      <c r="T17" s="196">
        <f>IF('4'!O28="",0,'4'!O28)</f>
        <v>0</v>
      </c>
      <c r="U17" s="193">
        <f>IF('4'!O24="",0,'4'!O24)</f>
        <v>0</v>
      </c>
      <c r="V17" s="193">
        <f>IF('4'!O26="",0,'4'!O26)</f>
        <v>0</v>
      </c>
      <c r="W17" s="193">
        <f>IF('4'!O20="",0,'4'!O20)</f>
        <v>0</v>
      </c>
      <c r="X17" s="193">
        <f>IF('4'!O22="",0,'4'!O22)</f>
        <v>0</v>
      </c>
      <c r="Y17" s="193">
        <f>IF('4'!O30="",0,'4'!O30)</f>
        <v>0</v>
      </c>
      <c r="AA17" s="243" t="e">
        <f>(M17+L17+J17+I17+H17+F17+E17+D17+C17+B17)/I5</f>
        <v>#VALUE!</v>
      </c>
      <c r="AC17" s="169" t="s">
        <v>1830</v>
      </c>
      <c r="AD17" s="169">
        <f>IF(X18=1,IF(W18=1,0,X17),0)</f>
        <v>0</v>
      </c>
      <c r="AE17" s="169">
        <f>IF(X18=2,X17,AD17)</f>
        <v>0</v>
      </c>
      <c r="AF17" s="169" t="e">
        <f>IF(AE16+AE17=AG15,AE17,0)</f>
        <v>#VALUE!</v>
      </c>
      <c r="AG17" s="169" t="e">
        <f>IF(AE16+AE17&gt;AG15,AG15-AG16,0)</f>
        <v>#VALUE!</v>
      </c>
      <c r="AH17" s="573" t="e">
        <f>IF(AE16+AE17&lt;AG15,AE17,0)</f>
        <v>#VALUE!</v>
      </c>
      <c r="AI17" s="571" t="s">
        <v>343</v>
      </c>
      <c r="AJ17" s="245" t="e">
        <f>MAX(AF17:AH17)</f>
        <v>#VALUE!</v>
      </c>
      <c r="AK17" s="302"/>
      <c r="AL17" s="302"/>
      <c r="AM17" s="302"/>
      <c r="AN17" s="302"/>
      <c r="AO17" s="302"/>
      <c r="AP17" s="302"/>
    </row>
    <row r="18" spans="2:42" ht="15" customHeight="1" thickBot="1" x14ac:dyDescent="0.3">
      <c r="S18" s="249" t="str">
        <f>'F+T Translation'!B65&amp;":"</f>
        <v>Popolni (1) ali delni (2) poseg:</v>
      </c>
      <c r="T18" s="195">
        <f>IF('4'!C28="",0,'3'!E92)</f>
        <v>0</v>
      </c>
      <c r="U18" s="195">
        <f>IF('4'!C24="",0,'3'!E84)</f>
        <v>0</v>
      </c>
      <c r="V18" s="195">
        <f>IF('4'!C26="",0,'3'!E88)</f>
        <v>0</v>
      </c>
      <c r="W18" s="195">
        <f>IF('4'!C20="",0,'3'!E76)</f>
        <v>0</v>
      </c>
      <c r="X18" s="195">
        <f>IF('4'!C22="",0,'3'!E80)</f>
        <v>0</v>
      </c>
      <c r="Y18" s="195">
        <f>IF('4'!C30="",0,'3'!E96)</f>
        <v>0</v>
      </c>
      <c r="AB18" s="570"/>
      <c r="AF18" s="241" t="e">
        <f>SUM(AF16:AF17)</f>
        <v>#VALUE!</v>
      </c>
      <c r="AG18" s="241" t="e">
        <f>SUM(AG16:AG17)</f>
        <v>#VALUE!</v>
      </c>
      <c r="AH18" s="576" t="e">
        <f>SUM(AH15:AH17)</f>
        <v>#VALUE!</v>
      </c>
      <c r="AI18" s="579" t="s">
        <v>1828</v>
      </c>
      <c r="AJ18" s="580" t="e">
        <f>SUM(AJ15:AJ17)</f>
        <v>#VALUE!</v>
      </c>
      <c r="AK18" s="302"/>
      <c r="AL18" s="302"/>
      <c r="AM18" s="302"/>
      <c r="AN18" s="302"/>
      <c r="AO18" s="302"/>
      <c r="AP18" s="302"/>
    </row>
    <row r="19" spans="2:42" ht="15" customHeight="1" thickTop="1" thickBot="1" x14ac:dyDescent="0.3">
      <c r="B19" s="761" t="str">
        <f>'2'!B91</f>
        <v>Vrsta stavbe</v>
      </c>
      <c r="C19" s="762"/>
      <c r="D19" s="195">
        <f>'2'!E91</f>
        <v>1</v>
      </c>
      <c r="E19" s="172" t="s">
        <v>405</v>
      </c>
      <c r="F19" s="172" t="s">
        <v>420</v>
      </c>
      <c r="G19" s="250" t="s">
        <v>421</v>
      </c>
      <c r="J19" s="172" t="s">
        <v>451</v>
      </c>
      <c r="K19" s="172" t="s">
        <v>452</v>
      </c>
      <c r="L19" s="172" t="s">
        <v>453</v>
      </c>
      <c r="M19" s="172" t="s">
        <v>454</v>
      </c>
    </row>
    <row r="20" spans="2:42" s="133" customFormat="1" ht="15" customHeight="1" thickTop="1" thickBot="1" x14ac:dyDescent="0.3">
      <c r="B20" s="240" t="str">
        <f>IF('2'!C92="","",'2'!C92)</f>
        <v>Šola</v>
      </c>
      <c r="C20" s="211"/>
      <c r="D20" s="227">
        <f>'2'!F92</f>
        <v>1</v>
      </c>
      <c r="E20" s="227">
        <f>HLOOKUP($D20,Parameters!$I$81:$N$84,3,FALSE)</f>
        <v>0.5</v>
      </c>
      <c r="F20" s="227">
        <f>HLOOKUP($D20,Parameters!$I$81:$N$84,2,FALSE)</f>
        <v>20</v>
      </c>
      <c r="G20" s="227">
        <f>HLOOKUP($D20,Parameters!$I$81:$N$84,4,FALSE)</f>
        <v>4</v>
      </c>
      <c r="H20" s="225"/>
      <c r="I20" s="225"/>
      <c r="J20" s="169" t="e">
        <f>I11/SUM($I$11:$L$11)*$L$17</f>
        <v>#VALUE!</v>
      </c>
      <c r="K20" s="169" t="e">
        <f>J11/SUM($I$11:$L$11)*$L$17</f>
        <v>#VALUE!</v>
      </c>
      <c r="L20" s="169" t="e">
        <f>K11/SUM($I$11:$L$11)*$L$17</f>
        <v>#VALUE!</v>
      </c>
      <c r="M20" s="169" t="e">
        <f>L11/SUM($I$11:$L$11)*$L$17</f>
        <v>#VALUE!</v>
      </c>
      <c r="N20" s="225"/>
      <c r="O20" s="172" t="str">
        <f>Q20</f>
        <v>Kd</v>
      </c>
      <c r="P20" s="253">
        <f>'2'!D29</f>
        <v>0</v>
      </c>
      <c r="Q20" s="174" t="str">
        <f>Translation!C3</f>
        <v>Kd</v>
      </c>
      <c r="R20" s="215">
        <f>Parameters!F23</f>
        <v>600</v>
      </c>
      <c r="S20" s="215">
        <f>Parameters!F24</f>
        <v>900</v>
      </c>
      <c r="T20" s="215">
        <f>Parameters!F25</f>
        <v>1400</v>
      </c>
      <c r="U20" s="215">
        <f>Parameters!F26</f>
        <v>2100</v>
      </c>
      <c r="V20" s="215">
        <f>Parameters!F27</f>
        <v>3000</v>
      </c>
      <c r="W20" s="215">
        <f>Parameters!F28</f>
        <v>3900</v>
      </c>
      <c r="X20" s="215">
        <f>Parameters!F29</f>
        <v>4800</v>
      </c>
      <c r="Y20" s="215">
        <f>Parameters!F30</f>
        <v>6000</v>
      </c>
      <c r="Z20" s="217"/>
      <c r="AC20" s="169" t="s">
        <v>1834</v>
      </c>
      <c r="AD20" s="169" t="e">
        <f>IF(U18=1,U17,C11)</f>
        <v>#VALUE!</v>
      </c>
      <c r="AE20" s="169" t="e">
        <f>IF(V18=1,IF(U18=1,U17,V17),AD20)</f>
        <v>#VALUE!</v>
      </c>
      <c r="AF20" s="573">
        <f>IF(AND(U18=2,V18=2),U17+V17,0)</f>
        <v>0</v>
      </c>
      <c r="AG20" s="574" t="e">
        <f>IF(AND(AF20&gt;(C11*(1-P16)),AF20&lt;(C11*(1+P16))),AF20,AE20)</f>
        <v>#VALUE!</v>
      </c>
      <c r="AH20" s="575" t="e">
        <f>IF(AE22+AE21&lt;AG20,AG20-(AE21+AE22),AG20)</f>
        <v>#VALUE!</v>
      </c>
      <c r="AI20" s="577" t="s">
        <v>339</v>
      </c>
      <c r="AJ20" s="578" t="e">
        <f>AG20-(AJ21+AJ22)</f>
        <v>#VALUE!</v>
      </c>
    </row>
    <row r="21" spans="2:42" ht="15" customHeight="1" thickTop="1" x14ac:dyDescent="0.25">
      <c r="B21" s="240" t="str">
        <f>IF('2'!C93="","",'2'!C93)</f>
        <v>Telovadnica</v>
      </c>
      <c r="C21" s="142"/>
      <c r="D21" s="227">
        <f>'2'!F93</f>
        <v>2</v>
      </c>
      <c r="E21" s="227">
        <f>HLOOKUP($D21,Parameters!$I$81:$N$84,3,FALSE)</f>
        <v>0.5</v>
      </c>
      <c r="F21" s="227">
        <f>HLOOKUP($D21,Parameters!$I$81:$N$84,2,FALSE)</f>
        <v>18</v>
      </c>
      <c r="G21" s="227">
        <f>HLOOKUP($D21,Parameters!$I$81:$N$84,4,FALSE)</f>
        <v>5</v>
      </c>
      <c r="H21" s="185"/>
      <c r="I21" s="185"/>
      <c r="J21" s="172" t="s">
        <v>455</v>
      </c>
      <c r="K21" s="172" t="s">
        <v>456</v>
      </c>
      <c r="L21" s="172" t="s">
        <v>457</v>
      </c>
      <c r="M21" s="172" t="s">
        <v>458</v>
      </c>
      <c r="N21" s="185"/>
      <c r="O21" s="219" t="str">
        <f>VLOOKUP('2'!E107,'2'!B108:C121,2,FALSE)</f>
        <v>46°</v>
      </c>
      <c r="P21" s="254" t="str">
        <f>IF(P20&lt;=R20,R21,IF(P20&lt;=S20,S21,IF(P20&lt;=T20,T21,IF(P20&lt;=U20,U21,IF(P20&lt;=V20,V21,IF(P20&lt;=W20,W21,IF(P20&lt;=X20,X21,Y21)))))))</f>
        <v>A</v>
      </c>
      <c r="Q21" s="255"/>
      <c r="R21" s="222" t="str">
        <f>Parameters!Q72</f>
        <v>A</v>
      </c>
      <c r="S21" s="222" t="str">
        <f>Parameters!R72</f>
        <v>B</v>
      </c>
      <c r="T21" s="222" t="str">
        <f>Parameters!S72</f>
        <v>C</v>
      </c>
      <c r="U21" s="222" t="str">
        <f>Parameters!T72</f>
        <v>D</v>
      </c>
      <c r="V21" s="222" t="str">
        <f>Parameters!U72</f>
        <v>E</v>
      </c>
      <c r="W21" s="222" t="str">
        <f>Parameters!V72</f>
        <v>F1</v>
      </c>
      <c r="X21" s="222" t="str">
        <f>Parameters!W72</f>
        <v>F2</v>
      </c>
      <c r="Y21" s="222" t="str">
        <f>Parameters!X72</f>
        <v>F3</v>
      </c>
      <c r="Z21" s="218"/>
      <c r="AA21" s="218"/>
      <c r="AC21" s="169" t="s">
        <v>1835</v>
      </c>
      <c r="AD21" s="169">
        <f>IF(U18=1,U17,0)</f>
        <v>0</v>
      </c>
      <c r="AE21" s="169">
        <f>IF(U18=2,U17,AD21)</f>
        <v>0</v>
      </c>
      <c r="AF21" s="169" t="e">
        <f>IF(AE21+AE22=AG20,AE21,0)</f>
        <v>#VALUE!</v>
      </c>
      <c r="AG21" s="280" t="e">
        <f>IF(AE21+AE22&gt;AG20,AE21,0)</f>
        <v>#VALUE!</v>
      </c>
      <c r="AH21" s="573" t="e">
        <f>IF(AE21+AE22&lt;AG20,AE21,0)</f>
        <v>#VALUE!</v>
      </c>
      <c r="AI21" s="571" t="s">
        <v>338</v>
      </c>
      <c r="AJ21" s="245" t="e">
        <f>MAX(AF21:AH21)</f>
        <v>#VALUE!</v>
      </c>
    </row>
    <row r="22" spans="2:42" ht="15" customHeight="1" x14ac:dyDescent="0.25">
      <c r="B22" s="240" t="str">
        <f>IF('2'!C94="","",'2'!C94)</f>
        <v>Pisarne</v>
      </c>
      <c r="C22" s="142"/>
      <c r="D22" s="227">
        <f>'2'!F94</f>
        <v>3</v>
      </c>
      <c r="E22" s="227">
        <f>HLOOKUP($D22,Parameters!$I$81:$N$84,3,FALSE)</f>
        <v>0.5</v>
      </c>
      <c r="F22" s="227">
        <f>HLOOKUP($D22,Parameters!$I$81:$N$84,2,FALSE)</f>
        <v>20</v>
      </c>
      <c r="G22" s="227">
        <f>HLOOKUP($D22,Parameters!$I$81:$N$84,4,FALSE)</f>
        <v>6</v>
      </c>
      <c r="H22" s="185"/>
      <c r="I22" s="185"/>
      <c r="J22" s="169" t="e">
        <f>I11/SUM($I$11:$L$11)*$M$17</f>
        <v>#VALUE!</v>
      </c>
      <c r="K22" s="169" t="e">
        <f>J11/SUM($I$11:$L$11)*$M$17</f>
        <v>#VALUE!</v>
      </c>
      <c r="L22" s="169" t="e">
        <f>K11/SUM($I$11:$L$11)*$M$17</f>
        <v>#VALUE!</v>
      </c>
      <c r="M22" s="169" t="e">
        <f>L11/SUM($I$11:$L$11)*$M$17</f>
        <v>#VALUE!</v>
      </c>
      <c r="N22" s="185"/>
      <c r="O22" s="172" t="s">
        <v>419</v>
      </c>
      <c r="P22" s="173">
        <f>HLOOKUP($P$21,$R$21:$Y$24,2,FALSE)</f>
        <v>6</v>
      </c>
      <c r="Q22" s="174" t="s">
        <v>419</v>
      </c>
      <c r="R22" s="172">
        <f>VLOOKUP(R21,Parameters!$D$23:$J$30,6,FALSE)</f>
        <v>6</v>
      </c>
      <c r="S22" s="172">
        <f>VLOOKUP(S21,Parameters!$D$23:$J$30,6,FALSE)</f>
        <v>8</v>
      </c>
      <c r="T22" s="172">
        <f>VLOOKUP(T21,Parameters!$D$23:$J$30,6,FALSE)</f>
        <v>10</v>
      </c>
      <c r="U22" s="172">
        <f>VLOOKUP(U21,Parameters!$D$23:$J$30,6,FALSE)</f>
        <v>12</v>
      </c>
      <c r="V22" s="172">
        <f>VLOOKUP(V21,Parameters!$D$23:$J$30,6,FALSE)</f>
        <v>14</v>
      </c>
      <c r="W22" s="172">
        <f>VLOOKUP(W21,Parameters!$D$23:$J$30,6,FALSE)</f>
        <v>16</v>
      </c>
      <c r="X22" s="172">
        <f>VLOOKUP(X21,Parameters!$D$23:$J$30,6,FALSE)</f>
        <v>18</v>
      </c>
      <c r="Y22" s="172">
        <f>VLOOKUP(Y21,Parameters!$D$23:$J$30,6,FALSE)</f>
        <v>20</v>
      </c>
      <c r="Z22" s="218"/>
      <c r="AA22" s="218"/>
      <c r="AC22" s="169" t="s">
        <v>1833</v>
      </c>
      <c r="AD22" s="169">
        <f>IF(V18=1,IF(U18=1,0,V17),0)</f>
        <v>0</v>
      </c>
      <c r="AE22" s="169">
        <f>IF(V18=2,V17,AD22)</f>
        <v>0</v>
      </c>
      <c r="AF22" s="169" t="e">
        <f>IF(AE21+AE22=AG20,AE22,0)</f>
        <v>#VALUE!</v>
      </c>
      <c r="AG22" s="169" t="e">
        <f>IF(AE21+AE22&gt;AG20,AG20-AG21,0)</f>
        <v>#VALUE!</v>
      </c>
      <c r="AH22" s="573" t="e">
        <f>IF(AE21+AE22&lt;AG20,AE22,0)</f>
        <v>#VALUE!</v>
      </c>
      <c r="AI22" s="571" t="s">
        <v>340</v>
      </c>
      <c r="AJ22" s="245" t="e">
        <f>MAX(AF22:AH22)</f>
        <v>#VALUE!</v>
      </c>
    </row>
    <row r="23" spans="2:42" ht="15" customHeight="1" thickBot="1" x14ac:dyDescent="0.3">
      <c r="B23" s="240" t="str">
        <f>IF('2'!C95="","",'2'!C95)</f>
        <v>Zdravstvena ustanova</v>
      </c>
      <c r="C23" s="142"/>
      <c r="D23" s="227">
        <f>'2'!F95</f>
        <v>4</v>
      </c>
      <c r="E23" s="227">
        <f>HLOOKUP($D23,Parameters!$I$81:$N$84,3,FALSE)</f>
        <v>0.8</v>
      </c>
      <c r="F23" s="227">
        <f>HLOOKUP($D23,Parameters!$I$81:$N$84,2,FALSE)</f>
        <v>20</v>
      </c>
      <c r="G23" s="227">
        <f>HLOOKUP($D23,Parameters!$I$81:$N$84,4,FALSE)</f>
        <v>8</v>
      </c>
      <c r="H23" s="185"/>
      <c r="I23" s="185"/>
      <c r="J23" s="173"/>
      <c r="K23" s="141"/>
      <c r="L23" s="288" t="str">
        <f>'F+T Translation'!B84&amp;" ("&amp;Translation!C146&amp;"):"</f>
        <v>g - vrednost (prej):</v>
      </c>
      <c r="M23" s="289">
        <f>HLOOKUP(M4,Parameters!G69:O77,9,FALSE)</f>
        <v>0.8</v>
      </c>
      <c r="N23" s="221"/>
      <c r="O23" s="172" t="s">
        <v>417</v>
      </c>
      <c r="P23" s="173">
        <f>HLOOKUP($P$21,$R$21:$Y$24,3,FALSE)</f>
        <v>105</v>
      </c>
      <c r="Q23" s="174" t="s">
        <v>417</v>
      </c>
      <c r="R23" s="172">
        <f>VLOOKUP(R21,Parameters!$D$23:$J$30,7,FALSE)</f>
        <v>105</v>
      </c>
      <c r="S23" s="172">
        <f>VLOOKUP(S21,Parameters!$D$23:$J$30,7,FALSE)</f>
        <v>121</v>
      </c>
      <c r="T23" s="172">
        <f>VLOOKUP(T21,Parameters!$D$23:$J$30,7,FALSE)</f>
        <v>137</v>
      </c>
      <c r="U23" s="172">
        <f>VLOOKUP(U21,Parameters!$D$23:$J$30,7,FALSE)</f>
        <v>166</v>
      </c>
      <c r="V23" s="172">
        <f>VLOOKUP(V21,Parameters!$D$23:$J$30,7,FALSE)</f>
        <v>183</v>
      </c>
      <c r="W23" s="172">
        <f>VLOOKUP(W21,Parameters!$D$23:$J$30,7,FALSE)</f>
        <v>200</v>
      </c>
      <c r="X23" s="172">
        <f>VLOOKUP(X21,Parameters!$D$23:$J$30,7,FALSE)</f>
        <v>200</v>
      </c>
      <c r="Y23" s="172">
        <f>VLOOKUP(Y21,Parameters!$D$23:$J$30,7,FALSE)</f>
        <v>200</v>
      </c>
      <c r="Z23" s="218"/>
      <c r="AA23" s="218"/>
      <c r="AC23" s="302"/>
      <c r="AD23" s="302"/>
      <c r="AE23" s="302"/>
      <c r="AF23" s="241" t="e">
        <f>SUM(AF21:AF22)</f>
        <v>#VALUE!</v>
      </c>
      <c r="AG23" s="241" t="e">
        <f>SUM(AG21:AG22)</f>
        <v>#VALUE!</v>
      </c>
      <c r="AH23" s="576" t="e">
        <f>SUM(AH20:AH22)</f>
        <v>#VALUE!</v>
      </c>
      <c r="AI23" s="579" t="s">
        <v>1834</v>
      </c>
      <c r="AJ23" s="580" t="e">
        <f>SUM(AJ20:AJ22)</f>
        <v>#VALUE!</v>
      </c>
    </row>
    <row r="24" spans="2:42" ht="15" customHeight="1" thickTop="1" x14ac:dyDescent="0.25">
      <c r="B24" s="240" t="str">
        <f>IF('2'!C96="","",'2'!C96)</f>
        <v/>
      </c>
      <c r="C24" s="142"/>
      <c r="D24" s="227">
        <f>'2'!F96</f>
        <v>5</v>
      </c>
      <c r="E24" s="227">
        <f>HLOOKUP($D24,Parameters!$I$81:$N$84,3,FALSE)</f>
        <v>0</v>
      </c>
      <c r="F24" s="227">
        <f>HLOOKUP($D24,Parameters!$I$81:$N$84,2,FALSE)</f>
        <v>0</v>
      </c>
      <c r="G24" s="227">
        <f>HLOOKUP($D24,Parameters!$I$81:$N$84,4,FALSE)</f>
        <v>0</v>
      </c>
      <c r="H24" s="185"/>
      <c r="I24" s="185"/>
      <c r="J24" s="173"/>
      <c r="K24" s="141"/>
      <c r="L24" s="288" t="str">
        <f>'F+T Translation'!B84&amp;" ("&amp;Translation!C147&amp;"):"</f>
        <v>g - vrednost (potem):</v>
      </c>
      <c r="M24" s="289">
        <f>HLOOKUP(P21,Parameters!Q72:X78,6,FALSE)</f>
        <v>0.65</v>
      </c>
      <c r="N24" s="221"/>
      <c r="O24" s="172" t="s">
        <v>420</v>
      </c>
      <c r="P24" s="220">
        <f>VLOOKUP(D19,D20:G25,3,FALSE)</f>
        <v>20</v>
      </c>
      <c r="Q24" s="251"/>
      <c r="R24" s="251"/>
      <c r="S24" s="251"/>
      <c r="T24" s="251"/>
      <c r="U24" s="251"/>
      <c r="V24" s="251"/>
      <c r="W24" s="251"/>
      <c r="X24" s="251"/>
      <c r="Y24" s="252"/>
      <c r="Z24" s="218"/>
    </row>
    <row r="25" spans="2:42" ht="15" customHeight="1" x14ac:dyDescent="0.25">
      <c r="B25" s="240" t="str">
        <f>IF('2'!C97="","",'2'!C97)</f>
        <v/>
      </c>
      <c r="C25" s="142"/>
      <c r="D25" s="227">
        <f>'2'!F97</f>
        <v>6</v>
      </c>
      <c r="E25" s="227">
        <f>HLOOKUP($D25,Parameters!$I$81:$N$84,3,FALSE)</f>
        <v>0</v>
      </c>
      <c r="F25" s="227">
        <f>HLOOKUP($D25,Parameters!$I$81:$N$84,2,FALSE)</f>
        <v>0</v>
      </c>
      <c r="G25" s="227">
        <f>HLOOKUP($D25,Parameters!$I$81:$N$84,4,FALSE)</f>
        <v>0</v>
      </c>
      <c r="J25" s="173"/>
      <c r="K25" s="141"/>
      <c r="L25" s="288" t="str">
        <f>Parameters!I62</f>
        <v>Povprečni faktor fiksnih senčil:</v>
      </c>
      <c r="M25" s="290">
        <v>0.4</v>
      </c>
      <c r="O25" s="172" t="str">
        <f>O20</f>
        <v>Kd</v>
      </c>
      <c r="P25" s="220">
        <f>P20-(P23*(20-P24+Parameters!J59))</f>
        <v>-52.5</v>
      </c>
      <c r="Q25" s="185"/>
      <c r="R25" s="185"/>
      <c r="S25" s="185"/>
      <c r="T25" s="216"/>
      <c r="U25" s="185"/>
      <c r="V25" s="185"/>
      <c r="W25" s="185"/>
      <c r="X25" s="185"/>
      <c r="Y25" s="185"/>
    </row>
    <row r="26" spans="2:42" ht="15" customHeight="1" x14ac:dyDescent="0.25">
      <c r="B26" s="246"/>
      <c r="C26" s="185"/>
      <c r="D26" s="230"/>
      <c r="E26" s="230"/>
      <c r="F26" s="230"/>
      <c r="G26" s="230"/>
      <c r="O26" s="172" t="s">
        <v>450</v>
      </c>
      <c r="P26" s="220">
        <f>VLOOKUP(O21,Parameters!E34:H47,4,FALSE)</f>
        <v>1350</v>
      </c>
      <c r="T26" s="184"/>
    </row>
    <row r="27" spans="2:42" ht="15" customHeight="1" x14ac:dyDescent="0.25">
      <c r="D27" s="135" t="s">
        <v>372</v>
      </c>
      <c r="E27" s="776" t="s">
        <v>371</v>
      </c>
      <c r="F27" s="776"/>
      <c r="G27" s="776"/>
      <c r="H27" s="776"/>
      <c r="I27" s="776"/>
      <c r="J27" s="776"/>
      <c r="K27" s="212"/>
      <c r="L27" s="212"/>
      <c r="M27" s="212"/>
      <c r="N27" s="212"/>
      <c r="O27" s="212"/>
      <c r="P27" s="212"/>
    </row>
    <row r="28" spans="2:42" ht="15" customHeight="1" x14ac:dyDescent="0.25">
      <c r="B28" s="546"/>
      <c r="C28" s="532"/>
      <c r="D28" s="244" t="s">
        <v>377</v>
      </c>
      <c r="E28" s="142" t="s">
        <v>339</v>
      </c>
      <c r="F28" s="172" t="s">
        <v>378</v>
      </c>
      <c r="G28" s="172" t="s">
        <v>338</v>
      </c>
      <c r="H28" s="172" t="s">
        <v>379</v>
      </c>
      <c r="I28" s="172" t="s">
        <v>340</v>
      </c>
      <c r="J28" s="172" t="s">
        <v>380</v>
      </c>
      <c r="K28" s="182" t="s">
        <v>384</v>
      </c>
      <c r="L28" s="172" t="s">
        <v>336</v>
      </c>
      <c r="M28" s="172" t="s">
        <v>381</v>
      </c>
      <c r="N28" s="172" t="s">
        <v>337</v>
      </c>
      <c r="O28" s="172" t="s">
        <v>382</v>
      </c>
      <c r="P28" s="182" t="s">
        <v>383</v>
      </c>
      <c r="Q28" s="172" t="s">
        <v>341</v>
      </c>
      <c r="R28" s="172" t="s">
        <v>385</v>
      </c>
      <c r="S28" s="172" t="s">
        <v>342</v>
      </c>
      <c r="T28" s="172" t="s">
        <v>386</v>
      </c>
      <c r="U28" s="172" t="s">
        <v>343</v>
      </c>
      <c r="V28" s="172" t="s">
        <v>387</v>
      </c>
      <c r="W28" s="172" t="s">
        <v>344</v>
      </c>
      <c r="X28" s="172" t="s">
        <v>388</v>
      </c>
      <c r="Y28" s="172" t="s">
        <v>345</v>
      </c>
      <c r="Z28" s="172" t="s">
        <v>389</v>
      </c>
      <c r="AA28" s="774" t="s">
        <v>376</v>
      </c>
      <c r="AB28" s="775"/>
    </row>
    <row r="29" spans="2:42" ht="15" customHeight="1" x14ac:dyDescent="0.25">
      <c r="B29" s="530"/>
      <c r="C29" s="545" t="str">
        <f>'F+T Translation'!B66&amp;":"</f>
        <v>Pred posegom:</v>
      </c>
      <c r="D29" s="245" t="e">
        <f>(((E29*F29+G29*H29+I29*J29*K29+((L29*M29+N29*O29)*P29)+Q29*R29+S29*T29+U29*V29+W29*X29+Y29*Z29+AA29))/1000)*(1+(AA29/100))</f>
        <v>#VALUE!</v>
      </c>
      <c r="E29" s="213" t="e">
        <f>D17</f>
        <v>#VALUE!</v>
      </c>
      <c r="F29" s="169">
        <f>HLOOKUP($M$4,Parameters!$G$69:$O$76,7,FALSE)</f>
        <v>1.4</v>
      </c>
      <c r="G29" s="169" t="e">
        <f>E17</f>
        <v>#VALUE!</v>
      </c>
      <c r="H29" s="169">
        <f>F29</f>
        <v>1.4</v>
      </c>
      <c r="I29" s="169" t="e">
        <f>F17</f>
        <v>#VALUE!</v>
      </c>
      <c r="J29" s="169">
        <f>F29</f>
        <v>1.4</v>
      </c>
      <c r="K29" s="169">
        <v>0.9</v>
      </c>
      <c r="L29" s="169" t="e">
        <f>B17</f>
        <v>#VALUE!</v>
      </c>
      <c r="M29" s="169">
        <f>HLOOKUP($M$4,Parameters!$G$69:$O$76,6,FALSE)</f>
        <v>1</v>
      </c>
      <c r="N29" s="169">
        <f>C17</f>
        <v>0</v>
      </c>
      <c r="O29" s="169">
        <f>M29</f>
        <v>1</v>
      </c>
      <c r="P29" s="169">
        <v>0.5</v>
      </c>
      <c r="Q29" s="169" t="e">
        <f>H17</f>
        <v>#VALUE!</v>
      </c>
      <c r="R29" s="169">
        <f>HLOOKUP($M$4,Parameters!$G$69:$O$76,5,FALSE)</f>
        <v>1.4</v>
      </c>
      <c r="S29" s="169" t="e">
        <f>I17</f>
        <v>#VALUE!</v>
      </c>
      <c r="T29" s="169">
        <f>R29</f>
        <v>1.4</v>
      </c>
      <c r="U29" s="169" t="e">
        <f>J17</f>
        <v>#VALUE!</v>
      </c>
      <c r="V29" s="169">
        <f>T29</f>
        <v>1.4</v>
      </c>
      <c r="W29" s="169" t="e">
        <f>L17</f>
        <v>#VALUE!</v>
      </c>
      <c r="X29" s="169">
        <f>HLOOKUP($M$4,Parameters!$G$69:$O$76,8,FALSE)</f>
        <v>4.5</v>
      </c>
      <c r="Y29" s="169">
        <f>M17</f>
        <v>0</v>
      </c>
      <c r="Z29" s="169">
        <f>X29</f>
        <v>4.5</v>
      </c>
      <c r="AA29" s="223">
        <f>Parameters!J60</f>
        <v>3</v>
      </c>
      <c r="AB29" s="224" t="s">
        <v>27</v>
      </c>
    </row>
    <row r="30" spans="2:42" ht="15" customHeight="1" x14ac:dyDescent="0.25">
      <c r="B30" s="530"/>
      <c r="C30" s="545" t="str">
        <f>'F+T Translation'!B67&amp;":"</f>
        <v>Po posegu:</v>
      </c>
      <c r="D30" s="245" t="e">
        <f>(((E30*F30+G30*H30+I30*J30*K30+((L30*M30+N30*O30)*P30)+Q30*R30+S30*T30+U30*V30+W30*X30+Y30*Z30+AA30))/1000)*(1+(AA30/100))</f>
        <v>#VALUE!</v>
      </c>
      <c r="E30" s="242" t="e">
        <f>E29</f>
        <v>#VALUE!</v>
      </c>
      <c r="F30" s="241">
        <f t="shared" ref="F30:Y30" si="0">F29</f>
        <v>1.4</v>
      </c>
      <c r="G30" s="241" t="e">
        <f t="shared" si="0"/>
        <v>#VALUE!</v>
      </c>
      <c r="H30" s="169">
        <f>HLOOKUP($P$21,Parameters!$Q$72:$X$78,4,FALSE)</f>
        <v>0.32</v>
      </c>
      <c r="I30" s="241" t="e">
        <f t="shared" si="0"/>
        <v>#VALUE!</v>
      </c>
      <c r="J30" s="169">
        <f>H30</f>
        <v>0.32</v>
      </c>
      <c r="K30" s="241">
        <f t="shared" si="0"/>
        <v>0.9</v>
      </c>
      <c r="L30" s="241" t="e">
        <f t="shared" si="0"/>
        <v>#VALUE!</v>
      </c>
      <c r="M30" s="241">
        <f t="shared" si="0"/>
        <v>1</v>
      </c>
      <c r="N30" s="241">
        <f t="shared" si="0"/>
        <v>0</v>
      </c>
      <c r="O30" s="169">
        <f>HLOOKUP($P$21,Parameters!$Q$72:$X$78,3,FALSE)</f>
        <v>0.42</v>
      </c>
      <c r="P30" s="241">
        <f t="shared" si="0"/>
        <v>0.5</v>
      </c>
      <c r="Q30" s="241" t="e">
        <f t="shared" si="0"/>
        <v>#VALUE!</v>
      </c>
      <c r="R30" s="241">
        <f t="shared" si="0"/>
        <v>1.4</v>
      </c>
      <c r="S30" s="241" t="e">
        <f t="shared" si="0"/>
        <v>#VALUE!</v>
      </c>
      <c r="T30" s="169">
        <f>HLOOKUP($P$21,Parameters!$Q$72:$X$78,2,FALSE)</f>
        <v>0.4</v>
      </c>
      <c r="U30" s="241" t="e">
        <f t="shared" si="0"/>
        <v>#VALUE!</v>
      </c>
      <c r="V30" s="169">
        <f>HLOOKUP($P$21,Parameters!$Q$72:$X$78,7,FALSE)</f>
        <v>0.48</v>
      </c>
      <c r="W30" s="241" t="e">
        <f t="shared" si="0"/>
        <v>#VALUE!</v>
      </c>
      <c r="X30" s="241">
        <f t="shared" si="0"/>
        <v>4.5</v>
      </c>
      <c r="Y30" s="241">
        <f t="shared" si="0"/>
        <v>0</v>
      </c>
      <c r="Z30" s="169">
        <f>HLOOKUP($P$21,Parameters!$Q$72:$X$78,5,FALSE)</f>
        <v>3</v>
      </c>
      <c r="AA30" s="223">
        <f>Parameters!J61</f>
        <v>5</v>
      </c>
      <c r="AB30" s="224" t="s">
        <v>27</v>
      </c>
    </row>
    <row r="32" spans="2:42" s="168" customFormat="1" ht="11.25" x14ac:dyDescent="0.25">
      <c r="B32" s="753" t="str">
        <f>Parameters!K21</f>
        <v>Porazdelitev dni ogrevanja</v>
      </c>
      <c r="C32" s="753"/>
      <c r="D32" s="753"/>
      <c r="E32" s="753"/>
      <c r="F32" s="753"/>
      <c r="G32" s="753"/>
      <c r="H32" s="753"/>
      <c r="I32" s="753"/>
      <c r="J32" s="753"/>
      <c r="K32" s="753"/>
      <c r="L32" s="753"/>
      <c r="M32" s="753"/>
      <c r="N32" s="246"/>
      <c r="O32" s="256"/>
      <c r="P32" s="777"/>
      <c r="Q32" s="777"/>
      <c r="R32" s="777"/>
      <c r="S32" s="777"/>
      <c r="T32" s="777"/>
      <c r="U32" s="777"/>
      <c r="V32" s="777"/>
      <c r="W32" s="777"/>
      <c r="X32" s="777"/>
      <c r="Y32" s="777"/>
      <c r="Z32" s="777"/>
      <c r="AA32" s="777"/>
    </row>
    <row r="33" spans="2:27" s="168" customFormat="1" ht="11.25" x14ac:dyDescent="0.25">
      <c r="B33" s="247" t="str">
        <f>B49</f>
        <v>Jan.</v>
      </c>
      <c r="C33" s="247" t="str">
        <f t="shared" ref="C33:M33" si="1">C49</f>
        <v>Feb.</v>
      </c>
      <c r="D33" s="247" t="str">
        <f t="shared" si="1"/>
        <v>Mar.</v>
      </c>
      <c r="E33" s="247" t="str">
        <f t="shared" si="1"/>
        <v>Apr.</v>
      </c>
      <c r="F33" s="247" t="str">
        <f t="shared" si="1"/>
        <v>Maj</v>
      </c>
      <c r="G33" s="247" t="str">
        <f t="shared" si="1"/>
        <v>Jun.</v>
      </c>
      <c r="H33" s="247" t="str">
        <f t="shared" si="1"/>
        <v>Jul.</v>
      </c>
      <c r="I33" s="247" t="str">
        <f t="shared" si="1"/>
        <v>Avg.</v>
      </c>
      <c r="J33" s="247" t="str">
        <f t="shared" si="1"/>
        <v>Sep.</v>
      </c>
      <c r="K33" s="247" t="str">
        <f t="shared" si="1"/>
        <v>Okt.</v>
      </c>
      <c r="L33" s="247" t="str">
        <f t="shared" si="1"/>
        <v>Nov.</v>
      </c>
      <c r="M33" s="247" t="str">
        <f t="shared" si="1"/>
        <v>Dec.</v>
      </c>
      <c r="N33" s="246"/>
      <c r="O33" s="287"/>
      <c r="P33" s="287"/>
      <c r="Q33" s="287"/>
      <c r="R33" s="287"/>
      <c r="S33" s="256"/>
      <c r="T33" s="256"/>
      <c r="U33" s="256"/>
      <c r="V33" s="256"/>
      <c r="W33" s="256"/>
      <c r="X33" s="256"/>
      <c r="Y33" s="256"/>
      <c r="Z33" s="256"/>
      <c r="AA33" s="256"/>
    </row>
    <row r="34" spans="2:27" ht="15" customHeight="1" x14ac:dyDescent="0.25">
      <c r="B34" s="169">
        <v>31</v>
      </c>
      <c r="C34" s="169">
        <v>28</v>
      </c>
      <c r="D34" s="169">
        <v>31</v>
      </c>
      <c r="E34" s="169">
        <v>30</v>
      </c>
      <c r="F34" s="169">
        <v>31</v>
      </c>
      <c r="G34" s="169">
        <v>30</v>
      </c>
      <c r="H34" s="169">
        <v>31</v>
      </c>
      <c r="I34" s="169">
        <v>31</v>
      </c>
      <c r="J34" s="169">
        <v>30</v>
      </c>
      <c r="K34" s="169">
        <v>31</v>
      </c>
      <c r="L34" s="169">
        <v>30</v>
      </c>
      <c r="M34" s="169">
        <v>31</v>
      </c>
      <c r="N34" s="257"/>
      <c r="O34" s="257"/>
      <c r="P34" s="286"/>
      <c r="Q34" s="278"/>
      <c r="R34" s="291"/>
      <c r="S34" s="258"/>
      <c r="T34" s="258"/>
      <c r="U34" s="258"/>
      <c r="V34" s="258"/>
      <c r="W34" s="258"/>
      <c r="X34" s="258"/>
      <c r="Y34" s="258"/>
      <c r="Z34" s="258"/>
      <c r="AA34" s="258"/>
    </row>
    <row r="35" spans="2:27" ht="15" customHeight="1" x14ac:dyDescent="0.25">
      <c r="B35" s="169">
        <f>VLOOKUP($P$21,Parameters!$D$23:$AH$30,8,FALSE)</f>
        <v>31</v>
      </c>
      <c r="C35" s="169">
        <f>VLOOKUP($P$21,Parameters!$D$23:$AH$30,9,FALSE)</f>
        <v>28</v>
      </c>
      <c r="D35" s="169">
        <f>VLOOKUP($P$21,Parameters!$D$23:$AH$30,10,FALSE)</f>
        <v>15</v>
      </c>
      <c r="E35" s="169">
        <f>VLOOKUP($P$21,Parameters!$D$23:$AH$30,11,FALSE)</f>
        <v>0</v>
      </c>
      <c r="F35" s="169">
        <f>VLOOKUP($P$21,Parameters!$D$23:$AH$30,12,FALSE)</f>
        <v>0</v>
      </c>
      <c r="G35" s="169">
        <f>VLOOKUP($P$21,Parameters!$D$23:$AH$30,13,FALSE)</f>
        <v>0</v>
      </c>
      <c r="H35" s="169">
        <f>VLOOKUP($P$21,Parameters!$D$23:$AH$30,14,FALSE)</f>
        <v>0</v>
      </c>
      <c r="I35" s="169">
        <f>VLOOKUP($P$21,Parameters!$D$23:$AH$30,15,FALSE)</f>
        <v>0</v>
      </c>
      <c r="J35" s="169">
        <f>VLOOKUP($P$21,Parameters!$D$23:$AH$30,16,FALSE)</f>
        <v>0</v>
      </c>
      <c r="K35" s="169">
        <f>VLOOKUP($P$21,Parameters!$D$23:$AH$30,17,FALSE)</f>
        <v>0</v>
      </c>
      <c r="L35" s="169">
        <f>VLOOKUP($P$21,Parameters!$D$23:$AH$30,18,FALSE)</f>
        <v>0</v>
      </c>
      <c r="M35" s="169">
        <f>VLOOKUP($P$21,Parameters!$D$23:$AH$30,19,FALSE)</f>
        <v>31</v>
      </c>
      <c r="N35" s="256"/>
      <c r="O35" s="257"/>
      <c r="P35" s="286"/>
      <c r="Q35" s="278"/>
      <c r="R35" s="291"/>
      <c r="S35" s="258"/>
      <c r="T35" s="258"/>
      <c r="U35" s="258"/>
      <c r="V35" s="258"/>
      <c r="W35" s="258"/>
      <c r="X35" s="258"/>
      <c r="Y35" s="258"/>
      <c r="Z35" s="258"/>
      <c r="AA35" s="258"/>
    </row>
    <row r="36" spans="2:27" s="185" customFormat="1" x14ac:dyDescent="0.25">
      <c r="B36" s="216"/>
      <c r="C36" s="259"/>
      <c r="D36" s="259"/>
      <c r="E36" s="259"/>
      <c r="F36" s="259"/>
      <c r="G36" s="259"/>
      <c r="H36" s="259"/>
      <c r="I36" s="259"/>
      <c r="J36" s="259"/>
      <c r="K36" s="259"/>
      <c r="L36" s="259"/>
      <c r="M36" s="259"/>
      <c r="O36" s="246"/>
      <c r="P36" s="259"/>
      <c r="Q36" s="259"/>
      <c r="R36" s="259"/>
      <c r="S36" s="259"/>
      <c r="T36" s="259"/>
      <c r="U36" s="259"/>
      <c r="V36" s="259"/>
      <c r="W36" s="259"/>
      <c r="X36" s="259"/>
      <c r="Y36" s="259"/>
      <c r="Z36" s="259"/>
      <c r="AA36" s="259"/>
    </row>
    <row r="37" spans="2:27" s="168" customFormat="1" ht="11.25" x14ac:dyDescent="0.25">
      <c r="B37" s="753" t="str">
        <f>Parameters!W21</f>
        <v>Porazdelitev TP (%)</v>
      </c>
      <c r="C37" s="753"/>
      <c r="D37" s="753"/>
      <c r="E37" s="753"/>
      <c r="F37" s="753"/>
      <c r="G37" s="753"/>
      <c r="H37" s="753"/>
      <c r="I37" s="753"/>
      <c r="J37" s="753"/>
      <c r="K37" s="753"/>
      <c r="L37" s="753"/>
      <c r="M37" s="753"/>
      <c r="N37" s="246"/>
      <c r="O37" s="256"/>
      <c r="P37" s="777"/>
      <c r="Q37" s="777"/>
      <c r="R37" s="777"/>
      <c r="S37" s="777"/>
      <c r="T37" s="777"/>
      <c r="U37" s="777"/>
      <c r="V37" s="777"/>
      <c r="W37" s="777"/>
      <c r="X37" s="777"/>
      <c r="Y37" s="777"/>
      <c r="Z37" s="777"/>
      <c r="AA37" s="777"/>
    </row>
    <row r="38" spans="2:27" s="168" customFormat="1" ht="11.25" x14ac:dyDescent="0.25">
      <c r="B38" s="247" t="str">
        <f>B49</f>
        <v>Jan.</v>
      </c>
      <c r="C38" s="247" t="str">
        <f t="shared" ref="C38:M38" si="2">C49</f>
        <v>Feb.</v>
      </c>
      <c r="D38" s="247" t="str">
        <f t="shared" si="2"/>
        <v>Mar.</v>
      </c>
      <c r="E38" s="247" t="str">
        <f t="shared" si="2"/>
        <v>Apr.</v>
      </c>
      <c r="F38" s="247" t="str">
        <f t="shared" si="2"/>
        <v>Maj</v>
      </c>
      <c r="G38" s="247" t="str">
        <f t="shared" si="2"/>
        <v>Jun.</v>
      </c>
      <c r="H38" s="247" t="str">
        <f t="shared" si="2"/>
        <v>Jul.</v>
      </c>
      <c r="I38" s="247" t="str">
        <f t="shared" si="2"/>
        <v>Avg.</v>
      </c>
      <c r="J38" s="247" t="str">
        <f t="shared" si="2"/>
        <v>Sep.</v>
      </c>
      <c r="K38" s="247" t="str">
        <f t="shared" si="2"/>
        <v>Okt.</v>
      </c>
      <c r="L38" s="247" t="str">
        <f t="shared" si="2"/>
        <v>Nov.</v>
      </c>
      <c r="M38" s="247" t="str">
        <f t="shared" si="2"/>
        <v>Dec.</v>
      </c>
      <c r="N38" s="246"/>
      <c r="O38" s="256"/>
      <c r="P38" s="256"/>
      <c r="Q38" s="256"/>
      <c r="R38" s="256"/>
      <c r="S38" s="256"/>
      <c r="T38" s="256"/>
      <c r="U38" s="256"/>
      <c r="V38" s="256"/>
      <c r="W38" s="256"/>
      <c r="X38" s="256"/>
      <c r="Y38" s="256"/>
      <c r="Z38" s="256"/>
      <c r="AA38" s="256"/>
    </row>
    <row r="39" spans="2:27" ht="15" customHeight="1" x14ac:dyDescent="0.25">
      <c r="B39" s="169">
        <f>VLOOKUP($P$21,Parameters!$D$23:$AH$30,20,FALSE)</f>
        <v>29.5</v>
      </c>
      <c r="C39" s="169">
        <f>VLOOKUP($P$21,Parameters!$D$23:$AH$30,21,FALSE)</f>
        <v>26.8</v>
      </c>
      <c r="D39" s="169">
        <f>VLOOKUP($P$21,Parameters!$D$23:$AH$30,22,FALSE)</f>
        <v>14.3</v>
      </c>
      <c r="E39" s="169">
        <f>VLOOKUP($P$21,Parameters!$D$23:$AH$30,23,FALSE)</f>
        <v>0</v>
      </c>
      <c r="F39" s="169">
        <f>VLOOKUP($P$21,Parameters!$D$23:$AH$30,24,FALSE)</f>
        <v>0</v>
      </c>
      <c r="G39" s="169">
        <f>VLOOKUP($P$21,Parameters!$D$23:$AH$30,25,FALSE)</f>
        <v>0</v>
      </c>
      <c r="H39" s="169">
        <f>VLOOKUP($P$21,Parameters!$D$23:$AH$30,26,FALSE)</f>
        <v>0</v>
      </c>
      <c r="I39" s="169">
        <f>VLOOKUP($P$21,Parameters!$D$23:$AH$30,27,FALSE)</f>
        <v>0</v>
      </c>
      <c r="J39" s="169">
        <f>VLOOKUP($P$21,Parameters!$D$23:$AH$30,28,FALSE)</f>
        <v>0</v>
      </c>
      <c r="K39" s="169">
        <f>VLOOKUP($P$21,Parameters!$D$23:$AH$30,29,FALSE)</f>
        <v>0</v>
      </c>
      <c r="L39" s="169">
        <f>VLOOKUP($P$21,Parameters!$D$23:$AH$30,30,FALSE)</f>
        <v>0</v>
      </c>
      <c r="M39" s="169">
        <f>VLOOKUP($P$21,Parameters!$D$23:$AH$30,31,FALSE)</f>
        <v>29.400000000000006</v>
      </c>
      <c r="N39" s="256"/>
      <c r="O39" s="256"/>
      <c r="P39" s="258"/>
      <c r="Q39" s="258"/>
      <c r="R39" s="258"/>
      <c r="S39" s="258"/>
      <c r="T39" s="258"/>
      <c r="U39" s="258"/>
      <c r="V39" s="258"/>
      <c r="W39" s="258"/>
      <c r="X39" s="258"/>
      <c r="Y39" s="258"/>
      <c r="Z39" s="258"/>
      <c r="AA39" s="258"/>
    </row>
    <row r="40" spans="2:27" s="185" customFormat="1" x14ac:dyDescent="0.25">
      <c r="B40" s="216"/>
      <c r="C40" s="259"/>
      <c r="D40" s="259"/>
      <c r="E40" s="259"/>
      <c r="F40" s="259"/>
      <c r="G40" s="259"/>
      <c r="H40" s="259"/>
      <c r="I40" s="259"/>
      <c r="J40" s="259"/>
      <c r="K40" s="259"/>
      <c r="L40" s="259"/>
      <c r="M40" s="259"/>
      <c r="O40" s="246"/>
      <c r="P40" s="259"/>
      <c r="Q40" s="259"/>
      <c r="R40" s="259"/>
      <c r="S40" s="259"/>
      <c r="T40" s="259"/>
      <c r="U40" s="259"/>
      <c r="V40" s="259"/>
      <c r="W40" s="259"/>
      <c r="X40" s="259"/>
      <c r="Y40" s="259"/>
      <c r="Z40" s="259"/>
      <c r="AA40" s="259"/>
    </row>
    <row r="41" spans="2:27" s="168" customFormat="1" ht="11.25" x14ac:dyDescent="0.25">
      <c r="B41" s="753" t="str">
        <f>Parameters!K32</f>
        <v>Porazdelitev sevanja (%)</v>
      </c>
      <c r="C41" s="753"/>
      <c r="D41" s="753"/>
      <c r="E41" s="753"/>
      <c r="F41" s="753"/>
      <c r="G41" s="753"/>
      <c r="H41" s="753"/>
      <c r="I41" s="753"/>
      <c r="J41" s="753"/>
      <c r="K41" s="753"/>
      <c r="L41" s="753"/>
      <c r="M41" s="753"/>
      <c r="N41" s="246"/>
      <c r="O41" s="256"/>
      <c r="P41" s="777"/>
      <c r="Q41" s="777"/>
      <c r="R41" s="777"/>
      <c r="S41" s="777"/>
      <c r="T41" s="777"/>
      <c r="U41" s="777"/>
      <c r="V41" s="777"/>
      <c r="W41" s="777"/>
      <c r="X41" s="777"/>
      <c r="Y41" s="777"/>
      <c r="Z41" s="777"/>
      <c r="AA41" s="777"/>
    </row>
    <row r="42" spans="2:27" s="168" customFormat="1" ht="11.25" x14ac:dyDescent="0.25">
      <c r="B42" s="247" t="str">
        <f>B38</f>
        <v>Jan.</v>
      </c>
      <c r="C42" s="247" t="str">
        <f t="shared" ref="C42:M42" si="3">C38</f>
        <v>Feb.</v>
      </c>
      <c r="D42" s="247" t="str">
        <f t="shared" si="3"/>
        <v>Mar.</v>
      </c>
      <c r="E42" s="247" t="str">
        <f t="shared" si="3"/>
        <v>Apr.</v>
      </c>
      <c r="F42" s="247" t="str">
        <f t="shared" si="3"/>
        <v>Maj</v>
      </c>
      <c r="G42" s="247" t="str">
        <f t="shared" si="3"/>
        <v>Jun.</v>
      </c>
      <c r="H42" s="247" t="str">
        <f t="shared" si="3"/>
        <v>Jul.</v>
      </c>
      <c r="I42" s="247" t="str">
        <f t="shared" si="3"/>
        <v>Avg.</v>
      </c>
      <c r="J42" s="247" t="str">
        <f t="shared" si="3"/>
        <v>Sep.</v>
      </c>
      <c r="K42" s="247" t="str">
        <f t="shared" si="3"/>
        <v>Okt.</v>
      </c>
      <c r="L42" s="247" t="str">
        <f t="shared" si="3"/>
        <v>Nov.</v>
      </c>
      <c r="M42" s="247" t="str">
        <f t="shared" si="3"/>
        <v>Dec.</v>
      </c>
      <c r="N42" s="246"/>
      <c r="O42" s="256"/>
      <c r="P42" s="256"/>
      <c r="Q42" s="256"/>
      <c r="R42" s="256"/>
      <c r="S42" s="256"/>
      <c r="T42" s="256"/>
      <c r="U42" s="256"/>
      <c r="V42" s="256"/>
      <c r="W42" s="256"/>
      <c r="X42" s="256"/>
      <c r="Y42" s="256"/>
      <c r="Z42" s="256"/>
      <c r="AA42" s="256"/>
    </row>
    <row r="43" spans="2:27" ht="15" customHeight="1" x14ac:dyDescent="0.25">
      <c r="B43" s="169">
        <f>VLOOKUP($O$21,Parameters!$E$34:$V$47,7,FALSE)</f>
        <v>2.9</v>
      </c>
      <c r="C43" s="169">
        <f>VLOOKUP($O$21,Parameters!$E$34:$V$47,8,FALSE)</f>
        <v>4.3</v>
      </c>
      <c r="D43" s="169">
        <f>VLOOKUP($O$21,Parameters!$E$34:$V$47,9,FALSE)</f>
        <v>7.5</v>
      </c>
      <c r="E43" s="169">
        <f>VLOOKUP($O$21,Parameters!$E$34:$V$47,10,FALSE)</f>
        <v>10</v>
      </c>
      <c r="F43" s="169">
        <f>VLOOKUP($O$21,Parameters!$E$34:$V$47,11,FALSE)</f>
        <v>12.8</v>
      </c>
      <c r="G43" s="169">
        <f>VLOOKUP($O$21,Parameters!$E$34:$V$47,12,FALSE)</f>
        <v>13.9</v>
      </c>
      <c r="H43" s="169">
        <f>VLOOKUP($O$21,Parameters!$E$34:$V$47,13,FALSE)</f>
        <v>15.5</v>
      </c>
      <c r="I43" s="169">
        <f>VLOOKUP($O$21,Parameters!$E$34:$V$47,14,FALSE)</f>
        <v>12.7</v>
      </c>
      <c r="J43" s="169">
        <f>VLOOKUP($O$21,Parameters!$E$34:$V$47,15,FALSE)</f>
        <v>9</v>
      </c>
      <c r="K43" s="169">
        <f>VLOOKUP($O$21,Parameters!$E$34:$V$47,16,FALSE)</f>
        <v>5.8</v>
      </c>
      <c r="L43" s="169">
        <f>VLOOKUP($O$21,Parameters!$E$34:$V$47,17,FALSE)</f>
        <v>3.1</v>
      </c>
      <c r="M43" s="169">
        <f>VLOOKUP($O$21,Parameters!$E$34:$V$47,18,FALSE)</f>
        <v>2.5</v>
      </c>
      <c r="N43" s="256"/>
      <c r="O43" s="278"/>
      <c r="P43" s="258"/>
      <c r="Q43" s="258"/>
      <c r="R43" s="258"/>
      <c r="S43" s="258"/>
      <c r="T43" s="258"/>
      <c r="U43" s="258"/>
      <c r="V43" s="258"/>
      <c r="W43" s="258"/>
      <c r="X43" s="258"/>
      <c r="Y43" s="258"/>
      <c r="Z43" s="258"/>
      <c r="AA43" s="258"/>
    </row>
    <row r="44" spans="2:27" s="185" customFormat="1" x14ac:dyDescent="0.25">
      <c r="B44" s="216"/>
      <c r="C44" s="259"/>
      <c r="D44" s="259"/>
      <c r="E44" s="259"/>
      <c r="F44" s="259"/>
      <c r="G44" s="259"/>
      <c r="H44" s="259"/>
      <c r="I44" s="259"/>
      <c r="J44" s="259"/>
      <c r="K44" s="259"/>
      <c r="L44" s="259"/>
      <c r="M44" s="259"/>
      <c r="O44" s="246"/>
      <c r="P44" s="259"/>
      <c r="Q44" s="259"/>
      <c r="R44" s="259"/>
      <c r="S44" s="259"/>
      <c r="T44" s="259"/>
      <c r="U44" s="259"/>
      <c r="V44" s="259"/>
      <c r="W44" s="259"/>
      <c r="X44" s="259"/>
      <c r="Y44" s="259"/>
      <c r="Z44" s="259"/>
      <c r="AA44" s="259"/>
    </row>
    <row r="45" spans="2:27" s="165" customFormat="1" ht="15" x14ac:dyDescent="0.25">
      <c r="B45" s="772" t="s">
        <v>373</v>
      </c>
      <c r="C45" s="166" t="s">
        <v>292</v>
      </c>
      <c r="D45" s="772" t="s">
        <v>285</v>
      </c>
      <c r="E45" s="773" t="s">
        <v>422</v>
      </c>
      <c r="F45" s="773"/>
      <c r="G45" s="773"/>
      <c r="H45" s="773"/>
      <c r="I45" s="773"/>
      <c r="J45" s="773"/>
      <c r="K45" s="773"/>
      <c r="L45" s="773"/>
      <c r="M45" s="773"/>
      <c r="N45" s="773"/>
      <c r="O45" s="773"/>
      <c r="P45" s="773"/>
      <c r="Q45" s="773"/>
      <c r="R45" s="773"/>
      <c r="S45" s="135"/>
    </row>
    <row r="46" spans="2:27" s="165" customFormat="1" ht="14.25" x14ac:dyDescent="0.25">
      <c r="B46" s="772"/>
      <c r="C46" s="167" t="s">
        <v>293</v>
      </c>
      <c r="D46" s="772"/>
      <c r="E46" s="771" t="s">
        <v>294</v>
      </c>
      <c r="F46" s="771"/>
      <c r="G46" s="771"/>
      <c r="H46" s="771"/>
      <c r="I46" s="771"/>
      <c r="J46" s="771"/>
      <c r="K46" s="771"/>
      <c r="L46" s="771"/>
      <c r="M46" s="771"/>
      <c r="N46" s="771"/>
      <c r="O46" s="771"/>
      <c r="P46" s="771"/>
      <c r="Q46" s="771"/>
      <c r="R46" s="771"/>
      <c r="S46" s="135"/>
    </row>
    <row r="48" spans="2:27" s="168" customFormat="1" ht="11.25" x14ac:dyDescent="0.25">
      <c r="B48" s="753" t="str">
        <f>'F+T Translation'!B66</f>
        <v>Pred posegom</v>
      </c>
      <c r="C48" s="753"/>
      <c r="D48" s="753"/>
      <c r="E48" s="753"/>
      <c r="F48" s="753"/>
      <c r="G48" s="753"/>
      <c r="H48" s="753"/>
      <c r="I48" s="753"/>
      <c r="J48" s="753"/>
      <c r="K48" s="753"/>
      <c r="L48" s="753"/>
      <c r="M48" s="753"/>
      <c r="N48" s="181"/>
      <c r="O48" s="181"/>
      <c r="P48" s="753" t="str">
        <f>'F+T Translation'!B67</f>
        <v>Po posegu</v>
      </c>
      <c r="Q48" s="753"/>
      <c r="R48" s="753"/>
      <c r="S48" s="753"/>
      <c r="T48" s="753"/>
      <c r="U48" s="753"/>
      <c r="V48" s="753"/>
      <c r="W48" s="753"/>
      <c r="X48" s="753"/>
      <c r="Y48" s="753"/>
      <c r="Z48" s="753"/>
      <c r="AA48" s="753"/>
    </row>
    <row r="49" spans="2:27" s="168" customFormat="1" ht="11.25" x14ac:dyDescent="0.25">
      <c r="B49" s="247" t="str">
        <f>Parameters!K50</f>
        <v>Jan.</v>
      </c>
      <c r="C49" s="247" t="str">
        <f>Parameters!L50</f>
        <v>Feb.</v>
      </c>
      <c r="D49" s="247" t="str">
        <f>Parameters!M50</f>
        <v>Mar.</v>
      </c>
      <c r="E49" s="247" t="str">
        <f>Parameters!N50</f>
        <v>Apr.</v>
      </c>
      <c r="F49" s="247" t="str">
        <f>Parameters!O50</f>
        <v>Maj</v>
      </c>
      <c r="G49" s="247" t="str">
        <f>Parameters!P50</f>
        <v>Jun.</v>
      </c>
      <c r="H49" s="247" t="str">
        <f>Parameters!Q50</f>
        <v>Jul.</v>
      </c>
      <c r="I49" s="247" t="str">
        <f>Parameters!R50</f>
        <v>Avg.</v>
      </c>
      <c r="J49" s="247" t="str">
        <f>Parameters!S50</f>
        <v>Sep.</v>
      </c>
      <c r="K49" s="247" t="str">
        <f>Parameters!T50</f>
        <v>Okt.</v>
      </c>
      <c r="L49" s="247" t="str">
        <f>Parameters!U50</f>
        <v>Nov.</v>
      </c>
      <c r="M49" s="247" t="str">
        <f>Parameters!V50</f>
        <v>Dec.</v>
      </c>
      <c r="N49" s="181"/>
      <c r="O49" s="181"/>
      <c r="P49" s="247" t="str">
        <f>Parameters!K50</f>
        <v>Jan.</v>
      </c>
      <c r="Q49" s="247" t="str">
        <f>Parameters!L50</f>
        <v>Feb.</v>
      </c>
      <c r="R49" s="247" t="str">
        <f>Parameters!M50</f>
        <v>Mar.</v>
      </c>
      <c r="S49" s="247" t="str">
        <f>Parameters!N50</f>
        <v>Apr.</v>
      </c>
      <c r="T49" s="247" t="str">
        <f>Parameters!O50</f>
        <v>Maj</v>
      </c>
      <c r="U49" s="247" t="str">
        <f>Parameters!P50</f>
        <v>Jun.</v>
      </c>
      <c r="V49" s="247" t="str">
        <f>Parameters!Q50</f>
        <v>Jul.</v>
      </c>
      <c r="W49" s="247" t="str">
        <f>Parameters!R50</f>
        <v>Avg.</v>
      </c>
      <c r="X49" s="247" t="str">
        <f>Parameters!S50</f>
        <v>Sep.</v>
      </c>
      <c r="Y49" s="247" t="str">
        <f>Parameters!T50</f>
        <v>Okt.</v>
      </c>
      <c r="Z49" s="247" t="str">
        <f>Parameters!U50</f>
        <v>Nov.</v>
      </c>
      <c r="AA49" s="247" t="str">
        <f>Parameters!V50</f>
        <v>Dec.</v>
      </c>
    </row>
    <row r="50" spans="2:27" ht="15" customHeight="1" x14ac:dyDescent="0.25">
      <c r="B50" s="169" t="e">
        <f>$D$29</f>
        <v>#VALUE!</v>
      </c>
      <c r="C50" s="241" t="e">
        <f t="shared" ref="C50:M50" si="4">$D$29</f>
        <v>#VALUE!</v>
      </c>
      <c r="D50" s="241" t="e">
        <f t="shared" si="4"/>
        <v>#VALUE!</v>
      </c>
      <c r="E50" s="241" t="e">
        <f t="shared" si="4"/>
        <v>#VALUE!</v>
      </c>
      <c r="F50" s="241" t="e">
        <f t="shared" si="4"/>
        <v>#VALUE!</v>
      </c>
      <c r="G50" s="241" t="e">
        <f t="shared" si="4"/>
        <v>#VALUE!</v>
      </c>
      <c r="H50" s="241" t="e">
        <f t="shared" si="4"/>
        <v>#VALUE!</v>
      </c>
      <c r="I50" s="241" t="e">
        <f t="shared" si="4"/>
        <v>#VALUE!</v>
      </c>
      <c r="J50" s="241" t="e">
        <f t="shared" si="4"/>
        <v>#VALUE!</v>
      </c>
      <c r="K50" s="241" t="e">
        <f t="shared" si="4"/>
        <v>#VALUE!</v>
      </c>
      <c r="L50" s="241" t="e">
        <f t="shared" si="4"/>
        <v>#VALUE!</v>
      </c>
      <c r="M50" s="241" t="e">
        <f t="shared" si="4"/>
        <v>#VALUE!</v>
      </c>
      <c r="N50" s="172" t="s">
        <v>377</v>
      </c>
      <c r="O50" s="181" t="str">
        <f>Translation!C12&amp;"/"&amp;Translation!C4</f>
        <v>kW/K</v>
      </c>
      <c r="P50" s="169" t="e">
        <f>$D$30</f>
        <v>#VALUE!</v>
      </c>
      <c r="Q50" s="241" t="e">
        <f t="shared" ref="Q50:AA50" si="5">$D$30</f>
        <v>#VALUE!</v>
      </c>
      <c r="R50" s="241" t="e">
        <f t="shared" si="5"/>
        <v>#VALUE!</v>
      </c>
      <c r="S50" s="241" t="e">
        <f t="shared" si="5"/>
        <v>#VALUE!</v>
      </c>
      <c r="T50" s="241" t="e">
        <f t="shared" si="5"/>
        <v>#VALUE!</v>
      </c>
      <c r="U50" s="241" t="e">
        <f t="shared" si="5"/>
        <v>#VALUE!</v>
      </c>
      <c r="V50" s="241" t="e">
        <f t="shared" si="5"/>
        <v>#VALUE!</v>
      </c>
      <c r="W50" s="241" t="e">
        <f t="shared" si="5"/>
        <v>#VALUE!</v>
      </c>
      <c r="X50" s="241" t="e">
        <f t="shared" si="5"/>
        <v>#VALUE!</v>
      </c>
      <c r="Y50" s="241" t="e">
        <f t="shared" si="5"/>
        <v>#VALUE!</v>
      </c>
      <c r="Z50" s="241" t="e">
        <f t="shared" si="5"/>
        <v>#VALUE!</v>
      </c>
      <c r="AA50" s="241" t="e">
        <f t="shared" si="5"/>
        <v>#VALUE!</v>
      </c>
    </row>
    <row r="51" spans="2:27" ht="15" customHeight="1" x14ac:dyDescent="0.25">
      <c r="B51" s="169">
        <f>(K5*1006*1.184*(1/3600)*(1/1000))</f>
        <v>0</v>
      </c>
      <c r="C51" s="241">
        <f>B51</f>
        <v>0</v>
      </c>
      <c r="D51" s="241">
        <f t="shared" ref="D51:M51" si="6">C51</f>
        <v>0</v>
      </c>
      <c r="E51" s="241">
        <f t="shared" si="6"/>
        <v>0</v>
      </c>
      <c r="F51" s="241">
        <f t="shared" si="6"/>
        <v>0</v>
      </c>
      <c r="G51" s="241">
        <f t="shared" si="6"/>
        <v>0</v>
      </c>
      <c r="H51" s="241">
        <f t="shared" si="6"/>
        <v>0</v>
      </c>
      <c r="I51" s="241">
        <f t="shared" si="6"/>
        <v>0</v>
      </c>
      <c r="J51" s="241">
        <f t="shared" si="6"/>
        <v>0</v>
      </c>
      <c r="K51" s="241">
        <f t="shared" si="6"/>
        <v>0</v>
      </c>
      <c r="L51" s="241">
        <f t="shared" si="6"/>
        <v>0</v>
      </c>
      <c r="M51" s="241">
        <f t="shared" si="6"/>
        <v>0</v>
      </c>
      <c r="N51" s="172" t="s">
        <v>418</v>
      </c>
      <c r="O51" s="181" t="str">
        <f>Translation!C15&amp;"/"&amp;Translation!C4</f>
        <v>kWh/K</v>
      </c>
      <c r="P51" s="241">
        <f>B51</f>
        <v>0</v>
      </c>
      <c r="Q51" s="241">
        <f t="shared" ref="Q51:AA51" si="7">C51</f>
        <v>0</v>
      </c>
      <c r="R51" s="241">
        <f t="shared" si="7"/>
        <v>0</v>
      </c>
      <c r="S51" s="241">
        <f t="shared" si="7"/>
        <v>0</v>
      </c>
      <c r="T51" s="241">
        <f t="shared" si="7"/>
        <v>0</v>
      </c>
      <c r="U51" s="241">
        <f t="shared" si="7"/>
        <v>0</v>
      </c>
      <c r="V51" s="241">
        <f t="shared" si="7"/>
        <v>0</v>
      </c>
      <c r="W51" s="241">
        <f t="shared" si="7"/>
        <v>0</v>
      </c>
      <c r="X51" s="241">
        <f t="shared" si="7"/>
        <v>0</v>
      </c>
      <c r="Y51" s="241">
        <f t="shared" si="7"/>
        <v>0</v>
      </c>
      <c r="Z51" s="241">
        <f t="shared" si="7"/>
        <v>0</v>
      </c>
      <c r="AA51" s="241">
        <f t="shared" si="7"/>
        <v>0</v>
      </c>
    </row>
    <row r="52" spans="2:27" ht="15" customHeight="1" x14ac:dyDescent="0.25">
      <c r="B52" s="188">
        <f>VLOOKUP($D$19,$D$20:$E$25,2,FALSE)</f>
        <v>0.5</v>
      </c>
      <c r="C52" s="243">
        <f>B52</f>
        <v>0.5</v>
      </c>
      <c r="D52" s="243">
        <f t="shared" ref="D52:M52" si="8">C52</f>
        <v>0.5</v>
      </c>
      <c r="E52" s="243">
        <f t="shared" si="8"/>
        <v>0.5</v>
      </c>
      <c r="F52" s="243">
        <f t="shared" si="8"/>
        <v>0.5</v>
      </c>
      <c r="G52" s="243">
        <f t="shared" si="8"/>
        <v>0.5</v>
      </c>
      <c r="H52" s="243">
        <f t="shared" si="8"/>
        <v>0.5</v>
      </c>
      <c r="I52" s="243">
        <f t="shared" si="8"/>
        <v>0.5</v>
      </c>
      <c r="J52" s="243">
        <f t="shared" si="8"/>
        <v>0.5</v>
      </c>
      <c r="K52" s="243">
        <f t="shared" si="8"/>
        <v>0.5</v>
      </c>
      <c r="L52" s="243">
        <f t="shared" si="8"/>
        <v>0.5</v>
      </c>
      <c r="M52" s="243">
        <f t="shared" si="8"/>
        <v>0.5</v>
      </c>
      <c r="N52" s="172" t="s">
        <v>405</v>
      </c>
      <c r="O52" s="181" t="str">
        <f>"1/"&amp;Translation!C14</f>
        <v>1/h</v>
      </c>
      <c r="P52" s="188">
        <f>IF('3'!O25="",B52,B52*(Parameters!J65/100))</f>
        <v>0.5</v>
      </c>
      <c r="Q52" s="243">
        <f>P52</f>
        <v>0.5</v>
      </c>
      <c r="R52" s="243">
        <f t="shared" ref="R52:AA52" si="9">Q52</f>
        <v>0.5</v>
      </c>
      <c r="S52" s="243">
        <f t="shared" si="9"/>
        <v>0.5</v>
      </c>
      <c r="T52" s="243">
        <f t="shared" si="9"/>
        <v>0.5</v>
      </c>
      <c r="U52" s="243">
        <f t="shared" si="9"/>
        <v>0.5</v>
      </c>
      <c r="V52" s="243">
        <f t="shared" si="9"/>
        <v>0.5</v>
      </c>
      <c r="W52" s="243">
        <f t="shared" si="9"/>
        <v>0.5</v>
      </c>
      <c r="X52" s="243">
        <f t="shared" si="9"/>
        <v>0.5</v>
      </c>
      <c r="Y52" s="243">
        <f t="shared" si="9"/>
        <v>0.5</v>
      </c>
      <c r="Z52" s="243">
        <f t="shared" si="9"/>
        <v>0.5</v>
      </c>
      <c r="AA52" s="243">
        <f t="shared" si="9"/>
        <v>0.5</v>
      </c>
    </row>
    <row r="53" spans="2:27" ht="15" customHeight="1" x14ac:dyDescent="0.25">
      <c r="B53" s="169">
        <f t="shared" ref="B53:M53" si="10">$P$25*B39/100</f>
        <v>-15.487500000000001</v>
      </c>
      <c r="C53" s="169">
        <f t="shared" si="10"/>
        <v>-14.07</v>
      </c>
      <c r="D53" s="169">
        <f t="shared" si="10"/>
        <v>-7.5075000000000003</v>
      </c>
      <c r="E53" s="169">
        <f t="shared" si="10"/>
        <v>0</v>
      </c>
      <c r="F53" s="169">
        <f t="shared" si="10"/>
        <v>0</v>
      </c>
      <c r="G53" s="169">
        <f t="shared" si="10"/>
        <v>0</v>
      </c>
      <c r="H53" s="169">
        <f t="shared" si="10"/>
        <v>0</v>
      </c>
      <c r="I53" s="169">
        <f t="shared" si="10"/>
        <v>0</v>
      </c>
      <c r="J53" s="169">
        <f t="shared" si="10"/>
        <v>0</v>
      </c>
      <c r="K53" s="169">
        <f t="shared" si="10"/>
        <v>0</v>
      </c>
      <c r="L53" s="169">
        <f t="shared" si="10"/>
        <v>0</v>
      </c>
      <c r="M53" s="169">
        <f t="shared" si="10"/>
        <v>-15.435000000000002</v>
      </c>
      <c r="N53" s="172" t="s">
        <v>87</v>
      </c>
      <c r="O53" s="181" t="str">
        <f>Translation!C3</f>
        <v>Kd</v>
      </c>
      <c r="P53" s="241">
        <f>B53</f>
        <v>-15.487500000000001</v>
      </c>
      <c r="Q53" s="241">
        <f t="shared" ref="Q53:AA54" si="11">C53</f>
        <v>-14.07</v>
      </c>
      <c r="R53" s="241">
        <f t="shared" si="11"/>
        <v>-7.5075000000000003</v>
      </c>
      <c r="S53" s="241">
        <f t="shared" si="11"/>
        <v>0</v>
      </c>
      <c r="T53" s="241">
        <f t="shared" si="11"/>
        <v>0</v>
      </c>
      <c r="U53" s="241">
        <f t="shared" si="11"/>
        <v>0</v>
      </c>
      <c r="V53" s="241">
        <f t="shared" si="11"/>
        <v>0</v>
      </c>
      <c r="W53" s="241">
        <f t="shared" si="11"/>
        <v>0</v>
      </c>
      <c r="X53" s="241">
        <f t="shared" si="11"/>
        <v>0</v>
      </c>
      <c r="Y53" s="241">
        <f t="shared" si="11"/>
        <v>0</v>
      </c>
      <c r="Z53" s="241">
        <f t="shared" si="11"/>
        <v>0</v>
      </c>
      <c r="AA53" s="241">
        <f t="shared" si="11"/>
        <v>-15.435000000000002</v>
      </c>
    </row>
    <row r="54" spans="2:27" ht="15" customHeight="1" x14ac:dyDescent="0.25">
      <c r="B54" s="172">
        <f>$P$22</f>
        <v>6</v>
      </c>
      <c r="C54" s="241">
        <f>B54</f>
        <v>6</v>
      </c>
      <c r="D54" s="241">
        <f t="shared" ref="D54:M63" si="12">C54</f>
        <v>6</v>
      </c>
      <c r="E54" s="241">
        <f t="shared" si="12"/>
        <v>6</v>
      </c>
      <c r="F54" s="241">
        <f t="shared" si="12"/>
        <v>6</v>
      </c>
      <c r="G54" s="241">
        <f t="shared" si="12"/>
        <v>6</v>
      </c>
      <c r="H54" s="241">
        <f t="shared" si="12"/>
        <v>6</v>
      </c>
      <c r="I54" s="241">
        <f t="shared" si="12"/>
        <v>6</v>
      </c>
      <c r="J54" s="241">
        <f t="shared" si="12"/>
        <v>6</v>
      </c>
      <c r="K54" s="241">
        <f t="shared" si="12"/>
        <v>6</v>
      </c>
      <c r="L54" s="241">
        <f t="shared" si="12"/>
        <v>6</v>
      </c>
      <c r="M54" s="241">
        <f t="shared" si="12"/>
        <v>6</v>
      </c>
      <c r="N54" s="172" t="s">
        <v>419</v>
      </c>
      <c r="O54" s="181" t="str">
        <f>Translation!C14&amp;"/"&amp;Translation!C5</f>
        <v>h/d</v>
      </c>
      <c r="P54" s="241">
        <f>B54</f>
        <v>6</v>
      </c>
      <c r="Q54" s="241">
        <f t="shared" si="11"/>
        <v>6</v>
      </c>
      <c r="R54" s="241">
        <f t="shared" si="11"/>
        <v>6</v>
      </c>
      <c r="S54" s="241">
        <f t="shared" si="11"/>
        <v>6</v>
      </c>
      <c r="T54" s="241">
        <f t="shared" si="11"/>
        <v>6</v>
      </c>
      <c r="U54" s="241">
        <f t="shared" si="11"/>
        <v>6</v>
      </c>
      <c r="V54" s="241">
        <f t="shared" si="11"/>
        <v>6</v>
      </c>
      <c r="W54" s="241">
        <f t="shared" si="11"/>
        <v>6</v>
      </c>
      <c r="X54" s="241">
        <f t="shared" si="11"/>
        <v>6</v>
      </c>
      <c r="Y54" s="241">
        <f t="shared" si="11"/>
        <v>6</v>
      </c>
      <c r="Z54" s="241">
        <f t="shared" si="11"/>
        <v>6</v>
      </c>
      <c r="AA54" s="241">
        <f t="shared" si="11"/>
        <v>6</v>
      </c>
    </row>
    <row r="55" spans="2:27" ht="15" customHeight="1" x14ac:dyDescent="0.25">
      <c r="B55" s="169" t="e">
        <f>(M20+M22)*((100-S17)/100)*M23*M25</f>
        <v>#VALUE!</v>
      </c>
      <c r="C55" s="241" t="e">
        <f>B55</f>
        <v>#VALUE!</v>
      </c>
      <c r="D55" s="241" t="e">
        <f t="shared" si="12"/>
        <v>#VALUE!</v>
      </c>
      <c r="E55" s="241" t="e">
        <f t="shared" si="12"/>
        <v>#VALUE!</v>
      </c>
      <c r="F55" s="241" t="e">
        <f t="shared" si="12"/>
        <v>#VALUE!</v>
      </c>
      <c r="G55" s="241" t="e">
        <f t="shared" si="12"/>
        <v>#VALUE!</v>
      </c>
      <c r="H55" s="241" t="e">
        <f t="shared" si="12"/>
        <v>#VALUE!</v>
      </c>
      <c r="I55" s="241" t="e">
        <f t="shared" si="12"/>
        <v>#VALUE!</v>
      </c>
      <c r="J55" s="241" t="e">
        <f t="shared" si="12"/>
        <v>#VALUE!</v>
      </c>
      <c r="K55" s="241" t="e">
        <f t="shared" si="12"/>
        <v>#VALUE!</v>
      </c>
      <c r="L55" s="241" t="e">
        <f t="shared" si="12"/>
        <v>#VALUE!</v>
      </c>
      <c r="M55" s="241" t="e">
        <f t="shared" si="12"/>
        <v>#VALUE!</v>
      </c>
      <c r="N55" s="182" t="s">
        <v>440</v>
      </c>
      <c r="O55" s="181" t="str">
        <f>Translation!C7</f>
        <v>m²</v>
      </c>
      <c r="P55" s="169" t="e">
        <f>((M20*M23)+(M22*M24))*M25*((100-S17)/100)</f>
        <v>#VALUE!</v>
      </c>
      <c r="Q55" s="241" t="e">
        <f>P55</f>
        <v>#VALUE!</v>
      </c>
      <c r="R55" s="241" t="e">
        <f t="shared" ref="R55:AA59" si="13">Q55</f>
        <v>#VALUE!</v>
      </c>
      <c r="S55" s="241" t="e">
        <f t="shared" si="13"/>
        <v>#VALUE!</v>
      </c>
      <c r="T55" s="241" t="e">
        <f t="shared" si="13"/>
        <v>#VALUE!</v>
      </c>
      <c r="U55" s="241" t="e">
        <f t="shared" si="13"/>
        <v>#VALUE!</v>
      </c>
      <c r="V55" s="241" t="e">
        <f t="shared" si="13"/>
        <v>#VALUE!</v>
      </c>
      <c r="W55" s="241" t="e">
        <f t="shared" si="13"/>
        <v>#VALUE!</v>
      </c>
      <c r="X55" s="241" t="e">
        <f t="shared" si="13"/>
        <v>#VALUE!</v>
      </c>
      <c r="Y55" s="241" t="e">
        <f t="shared" si="13"/>
        <v>#VALUE!</v>
      </c>
      <c r="Z55" s="241" t="e">
        <f t="shared" si="13"/>
        <v>#VALUE!</v>
      </c>
      <c r="AA55" s="241" t="e">
        <f t="shared" si="13"/>
        <v>#VALUE!</v>
      </c>
    </row>
    <row r="56" spans="2:27" ht="15" customHeight="1" x14ac:dyDescent="0.25">
      <c r="B56" s="169">
        <f>(($P$26*B$43/100)*(Parameters!K51/100))*B35/B34</f>
        <v>11.744999999999999</v>
      </c>
      <c r="C56" s="169">
        <f>(($P$26*C$43/100)*(Parameters!L51/100))*C35/C34</f>
        <v>16.254000000000001</v>
      </c>
      <c r="D56" s="169">
        <f>(($P$26*D$43/100)*(Parameters!M51/100))*D35/D34</f>
        <v>13.227822580645164</v>
      </c>
      <c r="E56" s="169">
        <f>(($P$26*E$43/100)*(Parameters!N51/100))*E35/E34</f>
        <v>0</v>
      </c>
      <c r="F56" s="169">
        <f>(($P$26*F$43/100)*(Parameters!O51/100))*F35/F34</f>
        <v>0</v>
      </c>
      <c r="G56" s="169">
        <f>(($P$26*G$43/100)*(Parameters!P51/100))*G35/G34</f>
        <v>0</v>
      </c>
      <c r="H56" s="169">
        <f>(($P$26*H$43/100)*(Parameters!Q51/100))*H35/H34</f>
        <v>0</v>
      </c>
      <c r="I56" s="169">
        <f>(($P$26*I$43/100)*(Parameters!R51/100))*I35/I34</f>
        <v>0</v>
      </c>
      <c r="J56" s="169">
        <f>(($P$26*J$43/100)*(Parameters!S51/100))*J35/J34</f>
        <v>0</v>
      </c>
      <c r="K56" s="169">
        <f>(($P$26*K$43/100)*(Parameters!T51/100))*K35/K34</f>
        <v>0</v>
      </c>
      <c r="L56" s="169">
        <f>(($P$26*L$43/100)*(Parameters!U51/100))*L35/L34</f>
        <v>0</v>
      </c>
      <c r="M56" s="169">
        <f>(($P$26*M$43/100)*(Parameters!V51/100))*M35/M34</f>
        <v>10.125</v>
      </c>
      <c r="N56" s="182" t="s">
        <v>441</v>
      </c>
      <c r="O56" s="181" t="str">
        <f>Translation!C17</f>
        <v>kWh/m²l</v>
      </c>
      <c r="P56" s="241">
        <f t="shared" ref="P56:Q60" si="14">B56</f>
        <v>11.744999999999999</v>
      </c>
      <c r="Q56" s="241">
        <f t="shared" si="14"/>
        <v>16.254000000000001</v>
      </c>
      <c r="R56" s="241">
        <f t="shared" ref="R56:R60" si="15">D56</f>
        <v>13.227822580645164</v>
      </c>
      <c r="S56" s="241">
        <f t="shared" ref="S56:S60" si="16">E56</f>
        <v>0</v>
      </c>
      <c r="T56" s="241">
        <f t="shared" ref="T56:T60" si="17">F56</f>
        <v>0</v>
      </c>
      <c r="U56" s="241">
        <f t="shared" ref="U56:U60" si="18">G56</f>
        <v>0</v>
      </c>
      <c r="V56" s="241">
        <f t="shared" ref="V56:V60" si="19">H56</f>
        <v>0</v>
      </c>
      <c r="W56" s="241">
        <f t="shared" ref="W56:W60" si="20">I56</f>
        <v>0</v>
      </c>
      <c r="X56" s="241">
        <f t="shared" ref="X56:X60" si="21">J56</f>
        <v>0</v>
      </c>
      <c r="Y56" s="241">
        <f t="shared" ref="Y56:Y60" si="22">K56</f>
        <v>0</v>
      </c>
      <c r="Z56" s="241">
        <f t="shared" ref="Z56:Z60" si="23">L56</f>
        <v>0</v>
      </c>
      <c r="AA56" s="241">
        <f t="shared" ref="AA56:AA60" si="24">M56</f>
        <v>10.125</v>
      </c>
    </row>
    <row r="57" spans="2:27" ht="15" customHeight="1" x14ac:dyDescent="0.25">
      <c r="B57" s="169" t="e">
        <f>(J20+J22+K20+K22)*((100-S17)/100)*M23*M25</f>
        <v>#VALUE!</v>
      </c>
      <c r="C57" s="241" t="e">
        <f>B57</f>
        <v>#VALUE!</v>
      </c>
      <c r="D57" s="241" t="e">
        <f t="shared" si="12"/>
        <v>#VALUE!</v>
      </c>
      <c r="E57" s="241" t="e">
        <f t="shared" si="12"/>
        <v>#VALUE!</v>
      </c>
      <c r="F57" s="241" t="e">
        <f t="shared" si="12"/>
        <v>#VALUE!</v>
      </c>
      <c r="G57" s="241" t="e">
        <f t="shared" si="12"/>
        <v>#VALUE!</v>
      </c>
      <c r="H57" s="241" t="e">
        <f t="shared" si="12"/>
        <v>#VALUE!</v>
      </c>
      <c r="I57" s="241" t="e">
        <f t="shared" si="12"/>
        <v>#VALUE!</v>
      </c>
      <c r="J57" s="241" t="e">
        <f t="shared" si="12"/>
        <v>#VALUE!</v>
      </c>
      <c r="K57" s="241" t="e">
        <f t="shared" si="12"/>
        <v>#VALUE!</v>
      </c>
      <c r="L57" s="241" t="e">
        <f t="shared" si="12"/>
        <v>#VALUE!</v>
      </c>
      <c r="M57" s="241" t="e">
        <f t="shared" si="12"/>
        <v>#VALUE!</v>
      </c>
      <c r="N57" s="182" t="s">
        <v>442</v>
      </c>
      <c r="O57" s="181" t="str">
        <f>O55</f>
        <v>m²</v>
      </c>
      <c r="P57" s="169" t="e">
        <f>(((J20+K20)*M23)+((J22+K22)*M24))*M25*((100-S17)/100)</f>
        <v>#VALUE!</v>
      </c>
      <c r="Q57" s="241" t="e">
        <f>P57</f>
        <v>#VALUE!</v>
      </c>
      <c r="R57" s="241" t="e">
        <f t="shared" si="13"/>
        <v>#VALUE!</v>
      </c>
      <c r="S57" s="241" t="e">
        <f t="shared" si="13"/>
        <v>#VALUE!</v>
      </c>
      <c r="T57" s="241" t="e">
        <f t="shared" si="13"/>
        <v>#VALUE!</v>
      </c>
      <c r="U57" s="241" t="e">
        <f t="shared" si="13"/>
        <v>#VALUE!</v>
      </c>
      <c r="V57" s="241" t="e">
        <f t="shared" si="13"/>
        <v>#VALUE!</v>
      </c>
      <c r="W57" s="241" t="e">
        <f t="shared" si="13"/>
        <v>#VALUE!</v>
      </c>
      <c r="X57" s="241" t="e">
        <f t="shared" si="13"/>
        <v>#VALUE!</v>
      </c>
      <c r="Y57" s="241" t="e">
        <f t="shared" si="13"/>
        <v>#VALUE!</v>
      </c>
      <c r="Z57" s="241" t="e">
        <f t="shared" si="13"/>
        <v>#VALUE!</v>
      </c>
      <c r="AA57" s="241" t="e">
        <f t="shared" si="13"/>
        <v>#VALUE!</v>
      </c>
    </row>
    <row r="58" spans="2:27" ht="15" customHeight="1" x14ac:dyDescent="0.25">
      <c r="B58" s="169">
        <f>(($P$26*B$43/100)*(Parameters!K52/100))*B35/B34</f>
        <v>29.753999999999998</v>
      </c>
      <c r="C58" s="169">
        <f>(($P$26*C$43/100)*(Parameters!L52/100))*C35/C34</f>
        <v>42.3765</v>
      </c>
      <c r="D58" s="169">
        <f>(($P$26*D$43/100)*(Parameters!M52/100))*D35/D34</f>
        <v>33.804435483870968</v>
      </c>
      <c r="E58" s="169">
        <f>(($P$26*E$43/100)*(Parameters!N52/100))*E35/E34</f>
        <v>0</v>
      </c>
      <c r="F58" s="169">
        <f>(($P$26*F$43/100)*(Parameters!O52/100))*F35/F34</f>
        <v>0</v>
      </c>
      <c r="G58" s="169">
        <f>(($P$26*G$43/100)*(Parameters!P52/100))*G35/G34</f>
        <v>0</v>
      </c>
      <c r="H58" s="169">
        <f>(($P$26*H$43/100)*(Parameters!Q52/100))*H35/H34</f>
        <v>0</v>
      </c>
      <c r="I58" s="169">
        <f>(($P$26*I$43/100)*(Parameters!R52/100))*I35/I34</f>
        <v>0</v>
      </c>
      <c r="J58" s="169">
        <f>(($P$26*J$43/100)*(Parameters!S52/100))*J35/J34</f>
        <v>0</v>
      </c>
      <c r="K58" s="169">
        <f>(($P$26*K$43/100)*(Parameters!T52/100))*K35/K34</f>
        <v>0</v>
      </c>
      <c r="L58" s="169">
        <f>(($P$26*L$43/100)*(Parameters!U52/100))*L35/L34</f>
        <v>0</v>
      </c>
      <c r="M58" s="169">
        <f>(($P$26*M$43/100)*(Parameters!V52/100))*M35/M34</f>
        <v>25.987500000000001</v>
      </c>
      <c r="N58" s="182" t="s">
        <v>443</v>
      </c>
      <c r="O58" s="181" t="str">
        <f>O56</f>
        <v>kWh/m²l</v>
      </c>
      <c r="P58" s="241">
        <f t="shared" si="14"/>
        <v>29.753999999999998</v>
      </c>
      <c r="Q58" s="241">
        <f t="shared" si="14"/>
        <v>42.3765</v>
      </c>
      <c r="R58" s="241">
        <f t="shared" si="15"/>
        <v>33.804435483870968</v>
      </c>
      <c r="S58" s="241">
        <f t="shared" si="16"/>
        <v>0</v>
      </c>
      <c r="T58" s="241">
        <f t="shared" si="17"/>
        <v>0</v>
      </c>
      <c r="U58" s="241">
        <f t="shared" si="18"/>
        <v>0</v>
      </c>
      <c r="V58" s="241">
        <f t="shared" si="19"/>
        <v>0</v>
      </c>
      <c r="W58" s="241">
        <f t="shared" si="20"/>
        <v>0</v>
      </c>
      <c r="X58" s="241">
        <f t="shared" si="21"/>
        <v>0</v>
      </c>
      <c r="Y58" s="241">
        <f t="shared" si="22"/>
        <v>0</v>
      </c>
      <c r="Z58" s="241">
        <f t="shared" si="23"/>
        <v>0</v>
      </c>
      <c r="AA58" s="241">
        <f t="shared" si="24"/>
        <v>25.987500000000001</v>
      </c>
    </row>
    <row r="59" spans="2:27" ht="15" customHeight="1" x14ac:dyDescent="0.25">
      <c r="B59" s="169" t="e">
        <f>(L20+L22)*((100-S17)/100)*M23*M25</f>
        <v>#VALUE!</v>
      </c>
      <c r="C59" s="241" t="e">
        <f>B59</f>
        <v>#VALUE!</v>
      </c>
      <c r="D59" s="241" t="e">
        <f t="shared" si="12"/>
        <v>#VALUE!</v>
      </c>
      <c r="E59" s="241" t="e">
        <f t="shared" si="12"/>
        <v>#VALUE!</v>
      </c>
      <c r="F59" s="241" t="e">
        <f t="shared" si="12"/>
        <v>#VALUE!</v>
      </c>
      <c r="G59" s="241" t="e">
        <f t="shared" si="12"/>
        <v>#VALUE!</v>
      </c>
      <c r="H59" s="241" t="e">
        <f t="shared" si="12"/>
        <v>#VALUE!</v>
      </c>
      <c r="I59" s="241" t="e">
        <f t="shared" si="12"/>
        <v>#VALUE!</v>
      </c>
      <c r="J59" s="241" t="e">
        <f t="shared" si="12"/>
        <v>#VALUE!</v>
      </c>
      <c r="K59" s="241" t="e">
        <f t="shared" si="12"/>
        <v>#VALUE!</v>
      </c>
      <c r="L59" s="241" t="e">
        <f t="shared" si="12"/>
        <v>#VALUE!</v>
      </c>
      <c r="M59" s="241" t="e">
        <f t="shared" si="12"/>
        <v>#VALUE!</v>
      </c>
      <c r="N59" s="182" t="s">
        <v>444</v>
      </c>
      <c r="O59" s="181" t="str">
        <f>O57</f>
        <v>m²</v>
      </c>
      <c r="P59" s="169" t="e">
        <f>((L20*M23)+(L22*M24))*M25*((100-S17)/100)</f>
        <v>#VALUE!</v>
      </c>
      <c r="Q59" s="241" t="e">
        <f>P59</f>
        <v>#VALUE!</v>
      </c>
      <c r="R59" s="241" t="e">
        <f t="shared" si="13"/>
        <v>#VALUE!</v>
      </c>
      <c r="S59" s="241" t="e">
        <f t="shared" si="13"/>
        <v>#VALUE!</v>
      </c>
      <c r="T59" s="241" t="e">
        <f t="shared" si="13"/>
        <v>#VALUE!</v>
      </c>
      <c r="U59" s="241" t="e">
        <f t="shared" si="13"/>
        <v>#VALUE!</v>
      </c>
      <c r="V59" s="241" t="e">
        <f t="shared" si="13"/>
        <v>#VALUE!</v>
      </c>
      <c r="W59" s="241" t="e">
        <f t="shared" si="13"/>
        <v>#VALUE!</v>
      </c>
      <c r="X59" s="241" t="e">
        <f t="shared" si="13"/>
        <v>#VALUE!</v>
      </c>
      <c r="Y59" s="241" t="e">
        <f t="shared" si="13"/>
        <v>#VALUE!</v>
      </c>
      <c r="Z59" s="241" t="e">
        <f t="shared" si="13"/>
        <v>#VALUE!</v>
      </c>
      <c r="AA59" s="241" t="e">
        <f t="shared" si="13"/>
        <v>#VALUE!</v>
      </c>
    </row>
    <row r="60" spans="2:27" ht="15" customHeight="1" x14ac:dyDescent="0.25">
      <c r="B60" s="169">
        <f>(($P$26*B$43/100)*(Parameters!K53/100))*B35/B34</f>
        <v>59.899499999999996</v>
      </c>
      <c r="C60" s="169">
        <f>(($P$26*C$43/100)*(Parameters!L53/100))*C35/C34</f>
        <v>70.240499999999997</v>
      </c>
      <c r="D60" s="169">
        <f>(($P$26*D$43/100)*(Parameters!M53/100))*D35/D34</f>
        <v>40.663306451612904</v>
      </c>
      <c r="E60" s="169">
        <f>(($P$26*E$43/100)*(Parameters!N53/100))*E35/E34</f>
        <v>0</v>
      </c>
      <c r="F60" s="169">
        <f>(($P$26*F$43/100)*(Parameters!O53/100))*F35/F34</f>
        <v>0</v>
      </c>
      <c r="G60" s="169">
        <f>(($P$26*G$43/100)*(Parameters!P53/100))*G35/G34</f>
        <v>0</v>
      </c>
      <c r="H60" s="169">
        <f>(($P$26*H$43/100)*(Parameters!Q53/100))*H35/H34</f>
        <v>0</v>
      </c>
      <c r="I60" s="169">
        <f>(($P$26*I$43/100)*(Parameters!R53/100))*I35/I34</f>
        <v>0</v>
      </c>
      <c r="J60" s="169">
        <f>(($P$26*J$43/100)*(Parameters!S53/100))*J35/J34</f>
        <v>0</v>
      </c>
      <c r="K60" s="169">
        <f>(($P$26*K$43/100)*(Parameters!T53/100))*K35/K34</f>
        <v>0</v>
      </c>
      <c r="L60" s="169">
        <f>(($P$26*L$43/100)*(Parameters!U53/100))*L35/L34</f>
        <v>0</v>
      </c>
      <c r="M60" s="169">
        <f>(($P$26*M$43/100)*(Parameters!V53/100))*M35/M34</f>
        <v>53.325000000000003</v>
      </c>
      <c r="N60" s="182" t="s">
        <v>445</v>
      </c>
      <c r="O60" s="181" t="str">
        <f>O58</f>
        <v>kWh/m²l</v>
      </c>
      <c r="P60" s="241">
        <f>B60</f>
        <v>59.899499999999996</v>
      </c>
      <c r="Q60" s="241">
        <f t="shared" si="14"/>
        <v>70.240499999999997</v>
      </c>
      <c r="R60" s="241">
        <f t="shared" si="15"/>
        <v>40.663306451612904</v>
      </c>
      <c r="S60" s="241">
        <f t="shared" si="16"/>
        <v>0</v>
      </c>
      <c r="T60" s="241">
        <f t="shared" si="17"/>
        <v>0</v>
      </c>
      <c r="U60" s="241">
        <f t="shared" si="18"/>
        <v>0</v>
      </c>
      <c r="V60" s="241">
        <f t="shared" si="19"/>
        <v>0</v>
      </c>
      <c r="W60" s="241">
        <f t="shared" si="20"/>
        <v>0</v>
      </c>
      <c r="X60" s="241">
        <f t="shared" si="21"/>
        <v>0</v>
      </c>
      <c r="Y60" s="241">
        <f t="shared" si="22"/>
        <v>0</v>
      </c>
      <c r="Z60" s="241">
        <f t="shared" si="23"/>
        <v>0</v>
      </c>
      <c r="AA60" s="241">
        <f t="shared" si="24"/>
        <v>53.325000000000003</v>
      </c>
    </row>
    <row r="61" spans="2:27" ht="15" customHeight="1" x14ac:dyDescent="0.25">
      <c r="B61" s="188">
        <f>VLOOKUP(D19,D20:G25,4,FALSE)</f>
        <v>4</v>
      </c>
      <c r="C61" s="241">
        <f>B61</f>
        <v>4</v>
      </c>
      <c r="D61" s="241">
        <f t="shared" si="12"/>
        <v>4</v>
      </c>
      <c r="E61" s="241">
        <f t="shared" si="12"/>
        <v>4</v>
      </c>
      <c r="F61" s="241">
        <f t="shared" si="12"/>
        <v>4</v>
      </c>
      <c r="G61" s="241">
        <f t="shared" si="12"/>
        <v>4</v>
      </c>
      <c r="H61" s="241">
        <f t="shared" si="12"/>
        <v>4</v>
      </c>
      <c r="I61" s="241">
        <f t="shared" si="12"/>
        <v>4</v>
      </c>
      <c r="J61" s="241">
        <f t="shared" si="12"/>
        <v>4</v>
      </c>
      <c r="K61" s="241">
        <f t="shared" si="12"/>
        <v>4</v>
      </c>
      <c r="L61" s="241">
        <f t="shared" si="12"/>
        <v>4</v>
      </c>
      <c r="M61" s="241">
        <f t="shared" si="12"/>
        <v>4</v>
      </c>
      <c r="N61" s="250" t="s">
        <v>421</v>
      </c>
      <c r="O61" s="181" t="str">
        <f>Parameters!O84</f>
        <v>W/m²</v>
      </c>
      <c r="P61" s="241">
        <f>B61</f>
        <v>4</v>
      </c>
      <c r="Q61" s="241">
        <f t="shared" ref="Q61" si="25">C61</f>
        <v>4</v>
      </c>
      <c r="R61" s="241">
        <f t="shared" ref="R61" si="26">D61</f>
        <v>4</v>
      </c>
      <c r="S61" s="241">
        <f t="shared" ref="S61" si="27">E61</f>
        <v>4</v>
      </c>
      <c r="T61" s="241">
        <f t="shared" ref="T61" si="28">F61</f>
        <v>4</v>
      </c>
      <c r="U61" s="241">
        <f t="shared" ref="U61" si="29">G61</f>
        <v>4</v>
      </c>
      <c r="V61" s="241">
        <f t="shared" ref="V61" si="30">H61</f>
        <v>4</v>
      </c>
      <c r="W61" s="241">
        <f t="shared" ref="W61" si="31">I61</f>
        <v>4</v>
      </c>
      <c r="X61" s="241">
        <f t="shared" ref="X61" si="32">J61</f>
        <v>4</v>
      </c>
      <c r="Y61" s="241">
        <f t="shared" ref="Y61" si="33">K61</f>
        <v>4</v>
      </c>
      <c r="Z61" s="241">
        <f t="shared" ref="Z61" si="34">L61</f>
        <v>4</v>
      </c>
      <c r="AA61" s="241">
        <f t="shared" ref="AA61" si="35">M61</f>
        <v>4</v>
      </c>
    </row>
    <row r="62" spans="2:27" ht="15" customHeight="1" x14ac:dyDescent="0.25">
      <c r="B62" s="169">
        <f>B35</f>
        <v>31</v>
      </c>
      <c r="C62" s="169">
        <f t="shared" ref="C62:M62" si="36">C35</f>
        <v>28</v>
      </c>
      <c r="D62" s="169">
        <f t="shared" si="36"/>
        <v>15</v>
      </c>
      <c r="E62" s="169">
        <f t="shared" si="36"/>
        <v>0</v>
      </c>
      <c r="F62" s="169">
        <f t="shared" si="36"/>
        <v>0</v>
      </c>
      <c r="G62" s="169">
        <f t="shared" si="36"/>
        <v>0</v>
      </c>
      <c r="H62" s="169">
        <f t="shared" si="36"/>
        <v>0</v>
      </c>
      <c r="I62" s="169">
        <f t="shared" si="36"/>
        <v>0</v>
      </c>
      <c r="J62" s="169">
        <f t="shared" si="36"/>
        <v>0</v>
      </c>
      <c r="K62" s="169">
        <f t="shared" si="36"/>
        <v>0</v>
      </c>
      <c r="L62" s="169">
        <f t="shared" si="36"/>
        <v>0</v>
      </c>
      <c r="M62" s="169">
        <f t="shared" si="36"/>
        <v>31</v>
      </c>
      <c r="N62" s="250" t="s">
        <v>446</v>
      </c>
      <c r="O62" s="181" t="str">
        <f>Translation!C5</f>
        <v>d</v>
      </c>
      <c r="P62" s="241">
        <f>B62</f>
        <v>31</v>
      </c>
      <c r="Q62" s="241">
        <f t="shared" ref="Q62" si="37">C62</f>
        <v>28</v>
      </c>
      <c r="R62" s="241">
        <f t="shared" ref="R62" si="38">D62</f>
        <v>15</v>
      </c>
      <c r="S62" s="241">
        <f t="shared" ref="S62" si="39">E62</f>
        <v>0</v>
      </c>
      <c r="T62" s="241">
        <f t="shared" ref="T62" si="40">F62</f>
        <v>0</v>
      </c>
      <c r="U62" s="241">
        <f t="shared" ref="U62" si="41">G62</f>
        <v>0</v>
      </c>
      <c r="V62" s="241">
        <f t="shared" ref="V62" si="42">H62</f>
        <v>0</v>
      </c>
      <c r="W62" s="241">
        <f t="shared" ref="W62" si="43">I62</f>
        <v>0</v>
      </c>
      <c r="X62" s="241">
        <f t="shared" ref="X62" si="44">J62</f>
        <v>0</v>
      </c>
      <c r="Y62" s="241">
        <f t="shared" ref="Y62" si="45">K62</f>
        <v>0</v>
      </c>
      <c r="Z62" s="241">
        <f t="shared" ref="Z62" si="46">L62</f>
        <v>0</v>
      </c>
      <c r="AA62" s="241">
        <f t="shared" ref="AA62" si="47">M62</f>
        <v>31</v>
      </c>
    </row>
    <row r="63" spans="2:27" ht="15" customHeight="1" thickBot="1" x14ac:dyDescent="0.3">
      <c r="B63" s="172">
        <f>P22</f>
        <v>6</v>
      </c>
      <c r="C63" s="241">
        <f>B63</f>
        <v>6</v>
      </c>
      <c r="D63" s="241">
        <f t="shared" si="12"/>
        <v>6</v>
      </c>
      <c r="E63" s="241">
        <f t="shared" si="12"/>
        <v>6</v>
      </c>
      <c r="F63" s="241">
        <f t="shared" si="12"/>
        <v>6</v>
      </c>
      <c r="G63" s="241">
        <f t="shared" si="12"/>
        <v>6</v>
      </c>
      <c r="H63" s="241">
        <f t="shared" si="12"/>
        <v>6</v>
      </c>
      <c r="I63" s="241">
        <f t="shared" si="12"/>
        <v>6</v>
      </c>
      <c r="J63" s="241">
        <f t="shared" si="12"/>
        <v>6</v>
      </c>
      <c r="K63" s="241">
        <f t="shared" si="12"/>
        <v>6</v>
      </c>
      <c r="L63" s="241">
        <f t="shared" si="12"/>
        <v>6</v>
      </c>
      <c r="M63" s="241">
        <f t="shared" si="12"/>
        <v>6</v>
      </c>
      <c r="N63" s="250" t="s">
        <v>447</v>
      </c>
      <c r="O63" s="181" t="str">
        <f>Translation!C14</f>
        <v>h</v>
      </c>
      <c r="P63" s="241">
        <f>B63</f>
        <v>6</v>
      </c>
      <c r="Q63" s="241">
        <f t="shared" ref="Q63" si="48">C63</f>
        <v>6</v>
      </c>
      <c r="R63" s="241">
        <f t="shared" ref="R63" si="49">D63</f>
        <v>6</v>
      </c>
      <c r="S63" s="241">
        <f t="shared" ref="S63" si="50">E63</f>
        <v>6</v>
      </c>
      <c r="T63" s="241">
        <f t="shared" ref="T63" si="51">F63</f>
        <v>6</v>
      </c>
      <c r="U63" s="241">
        <f t="shared" ref="U63" si="52">G63</f>
        <v>6</v>
      </c>
      <c r="V63" s="241">
        <f t="shared" ref="V63" si="53">H63</f>
        <v>6</v>
      </c>
      <c r="W63" s="241">
        <f t="shared" ref="W63" si="54">I63</f>
        <v>6</v>
      </c>
      <c r="X63" s="241">
        <f t="shared" ref="X63" si="55">J63</f>
        <v>6</v>
      </c>
      <c r="Y63" s="241">
        <f t="shared" ref="Y63" si="56">K63</f>
        <v>6</v>
      </c>
      <c r="Z63" s="241">
        <f t="shared" ref="Z63" si="57">L63</f>
        <v>6</v>
      </c>
      <c r="AA63" s="241">
        <f t="shared" ref="AA63" si="58">M63</f>
        <v>6</v>
      </c>
    </row>
    <row r="64" spans="2:27" ht="15" customHeight="1" thickTop="1" x14ac:dyDescent="0.25">
      <c r="B64" s="276" t="e">
        <f>((B50+(B51*B52))*B53*B54)</f>
        <v>#VALUE!</v>
      </c>
      <c r="C64" s="276" t="e">
        <f t="shared" ref="C64:M64" si="59">((C50+(C51*C52))*C53*C54)</f>
        <v>#VALUE!</v>
      </c>
      <c r="D64" s="276" t="e">
        <f t="shared" si="59"/>
        <v>#VALUE!</v>
      </c>
      <c r="E64" s="276" t="e">
        <f t="shared" si="59"/>
        <v>#VALUE!</v>
      </c>
      <c r="F64" s="276" t="e">
        <f t="shared" si="59"/>
        <v>#VALUE!</v>
      </c>
      <c r="G64" s="276" t="e">
        <f t="shared" si="59"/>
        <v>#VALUE!</v>
      </c>
      <c r="H64" s="276" t="e">
        <f t="shared" si="59"/>
        <v>#VALUE!</v>
      </c>
      <c r="I64" s="276" t="e">
        <f t="shared" si="59"/>
        <v>#VALUE!</v>
      </c>
      <c r="J64" s="276" t="e">
        <f t="shared" si="59"/>
        <v>#VALUE!</v>
      </c>
      <c r="K64" s="276" t="e">
        <f t="shared" si="59"/>
        <v>#VALUE!</v>
      </c>
      <c r="L64" s="276" t="e">
        <f t="shared" si="59"/>
        <v>#VALUE!</v>
      </c>
      <c r="M64" s="276" t="e">
        <f t="shared" si="59"/>
        <v>#VALUE!</v>
      </c>
      <c r="N64" s="273" t="s">
        <v>464</v>
      </c>
      <c r="O64" s="274" t="str">
        <f>Translation!C16</f>
        <v>kWh/leto</v>
      </c>
      <c r="P64" s="276" t="e">
        <f>((P50+(P51*P52))*P53*P54)</f>
        <v>#VALUE!</v>
      </c>
      <c r="Q64" s="276" t="e">
        <f t="shared" ref="Q64:AA64" si="60">((Q50+(Q51*Q52))*Q53*Q54)</f>
        <v>#VALUE!</v>
      </c>
      <c r="R64" s="276" t="e">
        <f t="shared" si="60"/>
        <v>#VALUE!</v>
      </c>
      <c r="S64" s="276" t="e">
        <f t="shared" si="60"/>
        <v>#VALUE!</v>
      </c>
      <c r="T64" s="276" t="e">
        <f t="shared" si="60"/>
        <v>#VALUE!</v>
      </c>
      <c r="U64" s="276" t="e">
        <f t="shared" si="60"/>
        <v>#VALUE!</v>
      </c>
      <c r="V64" s="276" t="e">
        <f t="shared" si="60"/>
        <v>#VALUE!</v>
      </c>
      <c r="W64" s="276" t="e">
        <f t="shared" si="60"/>
        <v>#VALUE!</v>
      </c>
      <c r="X64" s="276" t="e">
        <f t="shared" si="60"/>
        <v>#VALUE!</v>
      </c>
      <c r="Y64" s="276" t="e">
        <f t="shared" si="60"/>
        <v>#VALUE!</v>
      </c>
      <c r="Z64" s="276" t="e">
        <f t="shared" si="60"/>
        <v>#VALUE!</v>
      </c>
      <c r="AA64" s="276" t="e">
        <f t="shared" si="60"/>
        <v>#VALUE!</v>
      </c>
    </row>
    <row r="65" spans="2:27" ht="15" customHeight="1" x14ac:dyDescent="0.25">
      <c r="B65" s="277" t="e">
        <f>((B55*B56+B57*B58+B59*B60)+(B61*$G$5*B62*B63/1000))</f>
        <v>#VALUE!</v>
      </c>
      <c r="C65" s="277" t="e">
        <f t="shared" ref="C65:M65" si="61">((C55*C56+C57*C58+C59*C60)+(C61*$G$5*C62*C63/1000))</f>
        <v>#VALUE!</v>
      </c>
      <c r="D65" s="277" t="e">
        <f t="shared" si="61"/>
        <v>#VALUE!</v>
      </c>
      <c r="E65" s="277" t="e">
        <f t="shared" si="61"/>
        <v>#VALUE!</v>
      </c>
      <c r="F65" s="277" t="e">
        <f t="shared" si="61"/>
        <v>#VALUE!</v>
      </c>
      <c r="G65" s="277" t="e">
        <f t="shared" si="61"/>
        <v>#VALUE!</v>
      </c>
      <c r="H65" s="277" t="e">
        <f t="shared" si="61"/>
        <v>#VALUE!</v>
      </c>
      <c r="I65" s="277" t="e">
        <f t="shared" si="61"/>
        <v>#VALUE!</v>
      </c>
      <c r="J65" s="277" t="e">
        <f t="shared" si="61"/>
        <v>#VALUE!</v>
      </c>
      <c r="K65" s="277" t="e">
        <f t="shared" si="61"/>
        <v>#VALUE!</v>
      </c>
      <c r="L65" s="277" t="e">
        <f t="shared" si="61"/>
        <v>#VALUE!</v>
      </c>
      <c r="M65" s="277" t="e">
        <f t="shared" si="61"/>
        <v>#VALUE!</v>
      </c>
      <c r="N65" s="250" t="s">
        <v>465</v>
      </c>
      <c r="O65" s="199" t="str">
        <f>O64</f>
        <v>kWh/leto</v>
      </c>
      <c r="P65" s="277" t="e">
        <f>((P55*P56+P57*P58+P59*P60)+(P61*$G$5*P62*P63/1000))</f>
        <v>#VALUE!</v>
      </c>
      <c r="Q65" s="277" t="e">
        <f t="shared" ref="Q65:AA65" si="62">((Q55*Q56+Q57*Q58+Q59*Q60)+(Q61*$G$5*Q62*Q63/1000))</f>
        <v>#VALUE!</v>
      </c>
      <c r="R65" s="277" t="e">
        <f t="shared" si="62"/>
        <v>#VALUE!</v>
      </c>
      <c r="S65" s="277" t="e">
        <f t="shared" si="62"/>
        <v>#VALUE!</v>
      </c>
      <c r="T65" s="277" t="e">
        <f t="shared" si="62"/>
        <v>#VALUE!</v>
      </c>
      <c r="U65" s="277" t="e">
        <f t="shared" si="62"/>
        <v>#VALUE!</v>
      </c>
      <c r="V65" s="277" t="e">
        <f t="shared" si="62"/>
        <v>#VALUE!</v>
      </c>
      <c r="W65" s="277" t="e">
        <f t="shared" si="62"/>
        <v>#VALUE!</v>
      </c>
      <c r="X65" s="277" t="e">
        <f t="shared" si="62"/>
        <v>#VALUE!</v>
      </c>
      <c r="Y65" s="277" t="e">
        <f t="shared" si="62"/>
        <v>#VALUE!</v>
      </c>
      <c r="Z65" s="277" t="e">
        <f t="shared" si="62"/>
        <v>#VALUE!</v>
      </c>
      <c r="AA65" s="277" t="e">
        <f t="shared" si="62"/>
        <v>#VALUE!</v>
      </c>
    </row>
    <row r="66" spans="2:27" ht="15" customHeight="1" x14ac:dyDescent="0.25">
      <c r="B66" s="171" t="e">
        <f>IF(B64=0,0,B65/B64)</f>
        <v>#VALUE!</v>
      </c>
      <c r="C66" s="171" t="e">
        <f t="shared" ref="C66:M66" si="63">IF(C64=0,0,C65/C64)</f>
        <v>#VALUE!</v>
      </c>
      <c r="D66" s="171" t="e">
        <f t="shared" si="63"/>
        <v>#VALUE!</v>
      </c>
      <c r="E66" s="171" t="e">
        <f t="shared" si="63"/>
        <v>#VALUE!</v>
      </c>
      <c r="F66" s="171" t="e">
        <f t="shared" si="63"/>
        <v>#VALUE!</v>
      </c>
      <c r="G66" s="171" t="e">
        <f t="shared" si="63"/>
        <v>#VALUE!</v>
      </c>
      <c r="H66" s="171" t="e">
        <f t="shared" si="63"/>
        <v>#VALUE!</v>
      </c>
      <c r="I66" s="171" t="e">
        <f t="shared" si="63"/>
        <v>#VALUE!</v>
      </c>
      <c r="J66" s="171" t="e">
        <f t="shared" si="63"/>
        <v>#VALUE!</v>
      </c>
      <c r="K66" s="171" t="e">
        <f t="shared" si="63"/>
        <v>#VALUE!</v>
      </c>
      <c r="L66" s="171" t="e">
        <f t="shared" si="63"/>
        <v>#VALUE!</v>
      </c>
      <c r="M66" s="171" t="e">
        <f t="shared" si="63"/>
        <v>#VALUE!</v>
      </c>
      <c r="N66" s="275" t="s">
        <v>466</v>
      </c>
      <c r="O66" s="267" t="s">
        <v>290</v>
      </c>
      <c r="P66" s="171" t="e">
        <f>IF(P64=0,0,P65/P64)</f>
        <v>#VALUE!</v>
      </c>
      <c r="Q66" s="171" t="e">
        <f t="shared" ref="Q66" si="64">IF(Q64=0,0,Q65/Q64)</f>
        <v>#VALUE!</v>
      </c>
      <c r="R66" s="171" t="e">
        <f t="shared" ref="R66" si="65">IF(R64=0,0,R65/R64)</f>
        <v>#VALUE!</v>
      </c>
      <c r="S66" s="171" t="e">
        <f t="shared" ref="S66" si="66">IF(S64=0,0,S65/S64)</f>
        <v>#VALUE!</v>
      </c>
      <c r="T66" s="171" t="e">
        <f t="shared" ref="T66" si="67">IF(T64=0,0,T65/T64)</f>
        <v>#VALUE!</v>
      </c>
      <c r="U66" s="171" t="e">
        <f t="shared" ref="U66" si="68">IF(U64=0,0,U65/U64)</f>
        <v>#VALUE!</v>
      </c>
      <c r="V66" s="171" t="e">
        <f t="shared" ref="V66" si="69">IF(V64=0,0,V65/V64)</f>
        <v>#VALUE!</v>
      </c>
      <c r="W66" s="171" t="e">
        <f t="shared" ref="W66" si="70">IF(W64=0,0,W65/W64)</f>
        <v>#VALUE!</v>
      </c>
      <c r="X66" s="171" t="e">
        <f t="shared" ref="X66" si="71">IF(X64=0,0,X65/X64)</f>
        <v>#VALUE!</v>
      </c>
      <c r="Y66" s="171" t="e">
        <f t="shared" ref="Y66" si="72">IF(Y64=0,0,Y65/Y64)</f>
        <v>#VALUE!</v>
      </c>
      <c r="Z66" s="171" t="e">
        <f t="shared" ref="Z66" si="73">IF(Z64=0,0,Z65/Z64)</f>
        <v>#VALUE!</v>
      </c>
      <c r="AA66" s="171" t="e">
        <f t="shared" ref="AA66" si="74">IF(AA64=0,0,AA65/AA64)</f>
        <v>#VALUE!</v>
      </c>
    </row>
    <row r="67" spans="2:27" ht="15" customHeight="1" x14ac:dyDescent="0.25">
      <c r="B67" s="169" t="e">
        <f>IF(B64=0,0,(Parameters!$J$64*$G$5/3600)/((B50+(B51*B52))*1000))</f>
        <v>#VALUE!</v>
      </c>
      <c r="C67" s="241" t="e">
        <f>IF(C64=0,0,(Parameters!$J$64*$G$5/3600)/((C50+(C51*C52))*1000))</f>
        <v>#VALUE!</v>
      </c>
      <c r="D67" s="241" t="e">
        <f>IF(D64=0,0,(Parameters!$J$64*$G$5/3600)/((D50+(D51*D52))*1000))</f>
        <v>#VALUE!</v>
      </c>
      <c r="E67" s="241" t="e">
        <f>IF(E64=0,0,(Parameters!$J$64*$G$5/3600)/((E50+(E51*E52))*1000))</f>
        <v>#VALUE!</v>
      </c>
      <c r="F67" s="241" t="e">
        <f>IF(F64=0,0,(Parameters!$J$64*$G$5/3600)/((F50+(F51*F52))*1000))</f>
        <v>#VALUE!</v>
      </c>
      <c r="G67" s="241" t="e">
        <f>IF(G64=0,0,(Parameters!$J$64*$G$5/3600)/((G50+(G51*G52))*1000))</f>
        <v>#VALUE!</v>
      </c>
      <c r="H67" s="241" t="e">
        <f>IF(H64=0,0,(Parameters!$J$64*$G$5/3600)/((H50+(H51*H52))*1000))</f>
        <v>#VALUE!</v>
      </c>
      <c r="I67" s="241" t="e">
        <f>IF(I64=0,0,(Parameters!$J$64*$G$5/3600)/((I50+(I51*I52))*1000))</f>
        <v>#VALUE!</v>
      </c>
      <c r="J67" s="241" t="e">
        <f>IF(J64=0,0,(Parameters!$J$64*$G$5/3600)/((J50+(J51*J52))*1000))</f>
        <v>#VALUE!</v>
      </c>
      <c r="K67" s="241" t="e">
        <f>IF(K64=0,0,(Parameters!$J$64*$G$5/3600)/((K50+(K51*K52))*1000))</f>
        <v>#VALUE!</v>
      </c>
      <c r="L67" s="241" t="e">
        <f>IF(L64=0,0,(Parameters!$J$64*$G$5/3600)/((L50+(L51*L52))*1000))</f>
        <v>#VALUE!</v>
      </c>
      <c r="M67" s="241" t="e">
        <f>IF(M64=0,0,(Parameters!$J$64*$G$5/3600)/((M50+(M51*M52))*1000))</f>
        <v>#VALUE!</v>
      </c>
      <c r="N67" s="250" t="s">
        <v>467</v>
      </c>
      <c r="O67" s="199" t="s">
        <v>320</v>
      </c>
      <c r="P67" s="191" t="e">
        <f>IF(P64=0,0,(IF($X$17&gt;$W$17,Parameters!$J$63,Parameters!$J$64)*$G$5/3600)/((P50+(P51*P52))*1000))</f>
        <v>#VALUE!</v>
      </c>
      <c r="Q67" s="241" t="e">
        <f>IF(Q64=0,0,(IF($X$17&gt;$W$17,Parameters!$J$63,Parameters!$J$64)*$G$5/3600)/((Q50+(Q51*Q52))*1000))</f>
        <v>#VALUE!</v>
      </c>
      <c r="R67" s="241" t="e">
        <f>IF(R64=0,0,(IF($X$17&gt;$W$17,Parameters!$J$63,Parameters!$J$64)*$G$5/3600)/((R50+(R51*R52))*1000))</f>
        <v>#VALUE!</v>
      </c>
      <c r="S67" s="241" t="e">
        <f>IF(S64=0,0,(IF($X$17&gt;$W$17,Parameters!$J$63,Parameters!$J$64)*$G$5/3600)/((S50+(S51*S52))*1000))</f>
        <v>#VALUE!</v>
      </c>
      <c r="T67" s="241" t="e">
        <f>IF(T64=0,0,(IF($X$17&gt;$W$17,Parameters!$J$63,Parameters!$J$64)*$G$5/3600)/((T50+(T51*T52))*1000))</f>
        <v>#VALUE!</v>
      </c>
      <c r="U67" s="241" t="e">
        <f>IF(U64=0,0,(IF($X$17&gt;$W$17,Parameters!$J$63,Parameters!$J$64)*$G$5/3600)/((U50+(U51*U52))*1000))</f>
        <v>#VALUE!</v>
      </c>
      <c r="V67" s="241" t="e">
        <f>IF(V64=0,0,(IF($X$17&gt;$W$17,Parameters!$J$63,Parameters!$J$64)*$G$5/3600)/((V50+(V51*V52))*1000))</f>
        <v>#VALUE!</v>
      </c>
      <c r="W67" s="241" t="e">
        <f>IF(W64=0,0,(IF($X$17&gt;$W$17,Parameters!$J$63,Parameters!$J$64)*$G$5/3600)/((W50+(W51*W52))*1000))</f>
        <v>#VALUE!</v>
      </c>
      <c r="X67" s="241" t="e">
        <f>IF(X64=0,0,(IF($X$17&gt;$W$17,Parameters!$J$63,Parameters!$J$64)*$G$5/3600)/((X50+(X51*X52))*1000))</f>
        <v>#VALUE!</v>
      </c>
      <c r="Y67" s="241" t="e">
        <f>IF(Y64=0,0,(IF($X$17&gt;$W$17,Parameters!$J$63,Parameters!$J$64)*$G$5/3600)/((Y50+(Y51*Y52))*1000))</f>
        <v>#VALUE!</v>
      </c>
      <c r="Z67" s="241" t="e">
        <f>IF(Z64=0,0,(IF($X$17&gt;$W$17,Parameters!$J$63,Parameters!$J$64)*$G$5/3600)/((Z50+(Z51*Z52))*1000))</f>
        <v>#VALUE!</v>
      </c>
      <c r="AA67" s="241" t="e">
        <f>IF(AA64=0,0,(IF($X$17&gt;$W$17,Parameters!$J$63,Parameters!$J$64)*$G$5/3600)/((AA50+(AA51*AA52))*1000))</f>
        <v>#VALUE!</v>
      </c>
    </row>
    <row r="68" spans="2:27" ht="15" customHeight="1" x14ac:dyDescent="0.25">
      <c r="B68" s="171" t="e">
        <f>IF(B64=0,0,1+(B67/15))</f>
        <v>#VALUE!</v>
      </c>
      <c r="C68" s="284" t="e">
        <f t="shared" ref="C68:M68" si="75">IF(C64=0,0,1+(C67/15))</f>
        <v>#VALUE!</v>
      </c>
      <c r="D68" s="284" t="e">
        <f t="shared" si="75"/>
        <v>#VALUE!</v>
      </c>
      <c r="E68" s="284" t="e">
        <f t="shared" si="75"/>
        <v>#VALUE!</v>
      </c>
      <c r="F68" s="284" t="e">
        <f t="shared" si="75"/>
        <v>#VALUE!</v>
      </c>
      <c r="G68" s="284" t="e">
        <f t="shared" si="75"/>
        <v>#VALUE!</v>
      </c>
      <c r="H68" s="284" t="e">
        <f t="shared" si="75"/>
        <v>#VALUE!</v>
      </c>
      <c r="I68" s="284" t="e">
        <f t="shared" si="75"/>
        <v>#VALUE!</v>
      </c>
      <c r="J68" s="284" t="e">
        <f t="shared" si="75"/>
        <v>#VALUE!</v>
      </c>
      <c r="K68" s="284" t="e">
        <f t="shared" si="75"/>
        <v>#VALUE!</v>
      </c>
      <c r="L68" s="284" t="e">
        <f t="shared" si="75"/>
        <v>#VALUE!</v>
      </c>
      <c r="M68" s="284" t="e">
        <f t="shared" si="75"/>
        <v>#VALUE!</v>
      </c>
      <c r="N68" s="250" t="s">
        <v>468</v>
      </c>
      <c r="O68" s="199" t="s">
        <v>290</v>
      </c>
      <c r="P68" s="171" t="e">
        <f>IF(P64=0,0,1+(P67/15))</f>
        <v>#VALUE!</v>
      </c>
      <c r="Q68" s="284" t="e">
        <f t="shared" ref="Q68" si="76">IF(Q64=0,0,1+(Q67/15))</f>
        <v>#VALUE!</v>
      </c>
      <c r="R68" s="284" t="e">
        <f t="shared" ref="R68" si="77">IF(R64=0,0,1+(R67/15))</f>
        <v>#VALUE!</v>
      </c>
      <c r="S68" s="284" t="e">
        <f t="shared" ref="S68" si="78">IF(S64=0,0,1+(S67/15))</f>
        <v>#VALUE!</v>
      </c>
      <c r="T68" s="284" t="e">
        <f t="shared" ref="T68" si="79">IF(T64=0,0,1+(T67/15))</f>
        <v>#VALUE!</v>
      </c>
      <c r="U68" s="284" t="e">
        <f t="shared" ref="U68" si="80">IF(U64=0,0,1+(U67/15))</f>
        <v>#VALUE!</v>
      </c>
      <c r="V68" s="284" t="e">
        <f t="shared" ref="V68" si="81">IF(V64=0,0,1+(V67/15))</f>
        <v>#VALUE!</v>
      </c>
      <c r="W68" s="284" t="e">
        <f t="shared" ref="W68" si="82">IF(W64=0,0,1+(W67/15))</f>
        <v>#VALUE!</v>
      </c>
      <c r="X68" s="284" t="e">
        <f t="shared" ref="X68" si="83">IF(X64=0,0,1+(X67/15))</f>
        <v>#VALUE!</v>
      </c>
      <c r="Y68" s="284" t="e">
        <f t="shared" ref="Y68" si="84">IF(Y64=0,0,1+(Y67/15))</f>
        <v>#VALUE!</v>
      </c>
      <c r="Z68" s="284" t="e">
        <f t="shared" ref="Z68" si="85">IF(Z64=0,0,1+(Z67/15))</f>
        <v>#VALUE!</v>
      </c>
      <c r="AA68" s="284" t="e">
        <f t="shared" ref="AA68" si="86">IF(AA64=0,0,1+(AA67/15))</f>
        <v>#VALUE!</v>
      </c>
    </row>
    <row r="69" spans="2:27" ht="15" customHeight="1" thickBot="1" x14ac:dyDescent="0.3">
      <c r="B69" s="279" t="e">
        <f>IF(B64=0,0,IF(B66=1,B68/(B68+1),(1-B66^B68)/(1-B66^(B68+1))))</f>
        <v>#VALUE!</v>
      </c>
      <c r="C69" s="279" t="e">
        <f t="shared" ref="C69:M69" si="87">IF(C64=0,0,IF(C66=1,C68/(C68+1),(1-C66^C68)/(1-C66^(C68+1))))</f>
        <v>#VALUE!</v>
      </c>
      <c r="D69" s="279" t="e">
        <f t="shared" si="87"/>
        <v>#VALUE!</v>
      </c>
      <c r="E69" s="279" t="e">
        <f t="shared" si="87"/>
        <v>#VALUE!</v>
      </c>
      <c r="F69" s="279" t="e">
        <f t="shared" si="87"/>
        <v>#VALUE!</v>
      </c>
      <c r="G69" s="279" t="e">
        <f t="shared" si="87"/>
        <v>#VALUE!</v>
      </c>
      <c r="H69" s="279" t="e">
        <f t="shared" si="87"/>
        <v>#VALUE!</v>
      </c>
      <c r="I69" s="279" t="e">
        <f t="shared" si="87"/>
        <v>#VALUE!</v>
      </c>
      <c r="J69" s="279" t="e">
        <f t="shared" si="87"/>
        <v>#VALUE!</v>
      </c>
      <c r="K69" s="279" t="e">
        <f t="shared" si="87"/>
        <v>#VALUE!</v>
      </c>
      <c r="L69" s="279" t="e">
        <f t="shared" si="87"/>
        <v>#VALUE!</v>
      </c>
      <c r="M69" s="279" t="e">
        <f t="shared" si="87"/>
        <v>#VALUE!</v>
      </c>
      <c r="N69" s="269" t="s">
        <v>448</v>
      </c>
      <c r="O69" s="270" t="s">
        <v>290</v>
      </c>
      <c r="P69" s="279" t="e">
        <f>IF(P64=0,0,IF(P66=1,P68/(P68+1),(1-P66^P68)/(1-P66^(P68+1))))</f>
        <v>#VALUE!</v>
      </c>
      <c r="Q69" s="279" t="e">
        <f t="shared" ref="Q69" si="88">IF(Q64=0,0,IF(Q66=1,Q68/(Q68+1),(1-Q66^Q68)/(1-Q66^(Q68+1))))</f>
        <v>#VALUE!</v>
      </c>
      <c r="R69" s="279" t="e">
        <f t="shared" ref="R69" si="89">IF(R64=0,0,IF(R66=1,R68/(R68+1),(1-R66^R68)/(1-R66^(R68+1))))</f>
        <v>#VALUE!</v>
      </c>
      <c r="S69" s="279" t="e">
        <f t="shared" ref="S69" si="90">IF(S64=0,0,IF(S66=1,S68/(S68+1),(1-S66^S68)/(1-S66^(S68+1))))</f>
        <v>#VALUE!</v>
      </c>
      <c r="T69" s="279" t="e">
        <f t="shared" ref="T69" si="91">IF(T64=0,0,IF(T66=1,T68/(T68+1),(1-T66^T68)/(1-T66^(T68+1))))</f>
        <v>#VALUE!</v>
      </c>
      <c r="U69" s="279" t="e">
        <f t="shared" ref="U69" si="92">IF(U64=0,0,IF(U66=1,U68/(U68+1),(1-U66^U68)/(1-U66^(U68+1))))</f>
        <v>#VALUE!</v>
      </c>
      <c r="V69" s="279" t="e">
        <f t="shared" ref="V69" si="93">IF(V64=0,0,IF(V66=1,V68/(V68+1),(1-V66^V68)/(1-V66^(V68+1))))</f>
        <v>#VALUE!</v>
      </c>
      <c r="W69" s="279" t="e">
        <f t="shared" ref="W69" si="94">IF(W64=0,0,IF(W66=1,W68/(W68+1),(1-W66^W68)/(1-W66^(W68+1))))</f>
        <v>#VALUE!</v>
      </c>
      <c r="X69" s="279" t="e">
        <f t="shared" ref="X69" si="95">IF(X64=0,0,IF(X66=1,X68/(X68+1),(1-X66^X68)/(1-X66^(X68+1))))</f>
        <v>#VALUE!</v>
      </c>
      <c r="Y69" s="279" t="e">
        <f t="shared" ref="Y69" si="96">IF(Y64=0,0,IF(Y66=1,Y68/(Y68+1),(1-Y66^Y68)/(1-Y66^(Y68+1))))</f>
        <v>#VALUE!</v>
      </c>
      <c r="Z69" s="279" t="e">
        <f t="shared" ref="Z69" si="97">IF(Z64=0,0,IF(Z66=1,Z68/(Z68+1),(1-Z66^Z68)/(1-Z66^(Z68+1))))</f>
        <v>#VALUE!</v>
      </c>
      <c r="AA69" s="279" t="e">
        <f t="shared" ref="AA69" si="98">IF(AA64=0,0,IF(AA66=1,AA68/(AA68+1),(1-AA66^AA68)/(1-AA66^(AA68+1))))</f>
        <v>#VALUE!</v>
      </c>
    </row>
    <row r="70" spans="2:27" ht="15" customHeight="1" thickTop="1" x14ac:dyDescent="0.25">
      <c r="B70" s="280" t="e">
        <f>B64-B69*B65</f>
        <v>#VALUE!</v>
      </c>
      <c r="C70" s="280" t="e">
        <f t="shared" ref="C70:M70" si="99">C64-C69*C65</f>
        <v>#VALUE!</v>
      </c>
      <c r="D70" s="280" t="e">
        <f t="shared" si="99"/>
        <v>#VALUE!</v>
      </c>
      <c r="E70" s="280" t="e">
        <f t="shared" si="99"/>
        <v>#VALUE!</v>
      </c>
      <c r="F70" s="280" t="e">
        <f t="shared" si="99"/>
        <v>#VALUE!</v>
      </c>
      <c r="G70" s="280" t="e">
        <f t="shared" si="99"/>
        <v>#VALUE!</v>
      </c>
      <c r="H70" s="280" t="e">
        <f t="shared" si="99"/>
        <v>#VALUE!</v>
      </c>
      <c r="I70" s="280" t="e">
        <f t="shared" si="99"/>
        <v>#VALUE!</v>
      </c>
      <c r="J70" s="280" t="e">
        <f t="shared" si="99"/>
        <v>#VALUE!</v>
      </c>
      <c r="K70" s="280" t="e">
        <f t="shared" si="99"/>
        <v>#VALUE!</v>
      </c>
      <c r="L70" s="280" t="e">
        <f t="shared" si="99"/>
        <v>#VALUE!</v>
      </c>
      <c r="M70" s="280" t="e">
        <f t="shared" si="99"/>
        <v>#VALUE!</v>
      </c>
      <c r="N70" s="183" t="s">
        <v>292</v>
      </c>
      <c r="O70" s="267" t="str">
        <f>O64</f>
        <v>kWh/leto</v>
      </c>
      <c r="P70" s="280" t="e">
        <f>P64-P69*P65</f>
        <v>#VALUE!</v>
      </c>
      <c r="Q70" s="280" t="e">
        <f t="shared" ref="Q70" si="100">Q64-Q69*Q65</f>
        <v>#VALUE!</v>
      </c>
      <c r="R70" s="280" t="e">
        <f t="shared" ref="R70" si="101">R64-R69*R65</f>
        <v>#VALUE!</v>
      </c>
      <c r="S70" s="280" t="e">
        <f t="shared" ref="S70" si="102">S64-S69*S65</f>
        <v>#VALUE!</v>
      </c>
      <c r="T70" s="280" t="e">
        <f t="shared" ref="T70" si="103">T64-T69*T65</f>
        <v>#VALUE!</v>
      </c>
      <c r="U70" s="280" t="e">
        <f t="shared" ref="U70" si="104">U64-U69*U65</f>
        <v>#VALUE!</v>
      </c>
      <c r="V70" s="280" t="e">
        <f t="shared" ref="V70" si="105">V64-V69*V65</f>
        <v>#VALUE!</v>
      </c>
      <c r="W70" s="280" t="e">
        <f t="shared" ref="W70" si="106">W64-W69*W65</f>
        <v>#VALUE!</v>
      </c>
      <c r="X70" s="280" t="e">
        <f t="shared" ref="X70" si="107">X64-X69*X65</f>
        <v>#VALUE!</v>
      </c>
      <c r="Y70" s="280" t="e">
        <f t="shared" ref="Y70" si="108">Y64-Y69*Y65</f>
        <v>#VALUE!</v>
      </c>
      <c r="Z70" s="280" t="e">
        <f t="shared" ref="Z70" si="109">Z64-Z69*Z65</f>
        <v>#VALUE!</v>
      </c>
      <c r="AA70" s="280" t="e">
        <f t="shared" ref="AA70" si="110">AA64-AA69*AA65</f>
        <v>#VALUE!</v>
      </c>
    </row>
    <row r="71" spans="2:27" ht="15" customHeight="1" x14ac:dyDescent="0.25">
      <c r="L71" s="531"/>
      <c r="M71" s="281" t="e">
        <f>SUM(B70:M70)</f>
        <v>#VALUE!</v>
      </c>
      <c r="N71" s="282" t="s">
        <v>469</v>
      </c>
      <c r="O71" s="283" t="str">
        <f>O70</f>
        <v>kWh/leto</v>
      </c>
      <c r="P71" s="281" t="e">
        <f>SUM(P70:AA70)</f>
        <v>#VALUE!</v>
      </c>
      <c r="Q71" s="531"/>
    </row>
    <row r="72" spans="2:27" s="185" customFormat="1" ht="15" customHeight="1" x14ac:dyDescent="0.25">
      <c r="L72" s="531"/>
      <c r="M72" s="531"/>
      <c r="N72" s="534" t="s">
        <v>470</v>
      </c>
      <c r="O72" s="283" t="s">
        <v>27</v>
      </c>
      <c r="P72" s="153" t="e">
        <f>-(M71-P71)/M71*100</f>
        <v>#VALUE!</v>
      </c>
      <c r="Q72" s="531"/>
    </row>
    <row r="73" spans="2:27" s="185" customFormat="1" ht="15" customHeight="1" x14ac:dyDescent="0.25">
      <c r="B73" s="761" t="str">
        <f>Translation!C64&amp;" 1"</f>
        <v>Energent 1</v>
      </c>
      <c r="C73" s="762"/>
      <c r="F73" s="761" t="str">
        <f>Translation!C64&amp;" 2"</f>
        <v>Energent 2</v>
      </c>
      <c r="G73" s="762"/>
      <c r="L73" s="280"/>
      <c r="M73" s="280">
        <f>L75+M75</f>
        <v>0</v>
      </c>
      <c r="N73" s="535" t="s">
        <v>500</v>
      </c>
      <c r="O73" s="558" t="str">
        <f>O75</f>
        <v>kWh/leto</v>
      </c>
      <c r="P73" s="280" t="e">
        <f>P71/M71*M73</f>
        <v>#VALUE!</v>
      </c>
      <c r="Q73" s="280"/>
    </row>
    <row r="74" spans="2:27" s="185" customFormat="1" ht="15" customHeight="1" x14ac:dyDescent="0.25">
      <c r="B74" s="553" t="str">
        <f>Parameters!H90</f>
        <v>Pred posegom</v>
      </c>
      <c r="C74" s="553" t="str">
        <f>Parameters!I90</f>
        <v>Po posegu</v>
      </c>
      <c r="F74" s="553" t="str">
        <f>B74</f>
        <v>Pred posegom</v>
      </c>
      <c r="G74" s="553" t="str">
        <f>C74</f>
        <v>Po posegu</v>
      </c>
      <c r="L74" s="548">
        <v>1</v>
      </c>
      <c r="M74" s="548">
        <v>2</v>
      </c>
      <c r="N74" s="548"/>
      <c r="O74" s="547"/>
      <c r="P74" s="548">
        <v>1</v>
      </c>
      <c r="Q74" s="548">
        <v>2</v>
      </c>
    </row>
    <row r="75" spans="2:27" s="185" customFormat="1" ht="15" customHeight="1" thickBot="1" x14ac:dyDescent="0.3">
      <c r="B75" s="250">
        <f>IF('2'!$E$91='2'!$B$93,Parameters!H91+Parameters!H92,Parameters!H91)</f>
        <v>0.91</v>
      </c>
      <c r="C75" s="250">
        <f>IF('2'!$E$91='2'!$B$93,Parameters!I91+Parameters!I92,Parameters!I91)</f>
        <v>0.95</v>
      </c>
      <c r="F75" s="250">
        <f>IF('2'!$E$91='2'!$B$93,Parameters!H91+Parameters!H92,Parameters!H91)</f>
        <v>0.91</v>
      </c>
      <c r="G75" s="250">
        <f>IF('2'!$E$91='2'!$B$93,Parameters!I91+Parameters!I92,Parameters!I91)</f>
        <v>0.95</v>
      </c>
      <c r="L75" s="554">
        <f>L81*L80</f>
        <v>0</v>
      </c>
      <c r="M75" s="554">
        <f>M81*M80</f>
        <v>0</v>
      </c>
      <c r="N75" s="555" t="s">
        <v>292</v>
      </c>
      <c r="O75" s="556" t="str">
        <f>O70</f>
        <v>kWh/leto</v>
      </c>
      <c r="P75" s="554" t="e">
        <f>L75/M73*P73</f>
        <v>#DIV/0!</v>
      </c>
      <c r="Q75" s="554" t="e">
        <f>M75/M73*P73</f>
        <v>#DIV/0!</v>
      </c>
    </row>
    <row r="76" spans="2:27" s="185" customFormat="1" ht="15" customHeight="1" thickTop="1" x14ac:dyDescent="0.25">
      <c r="B76" s="250">
        <f>Parameters!$H$93</f>
        <v>0.93</v>
      </c>
      <c r="C76" s="250">
        <f>Parameters!$I$93</f>
        <v>0.97</v>
      </c>
      <c r="F76" s="250">
        <f>Parameters!$H$93</f>
        <v>0.93</v>
      </c>
      <c r="G76" s="250">
        <f>Parameters!$I$93</f>
        <v>0.97</v>
      </c>
      <c r="L76" s="210">
        <f>B75</f>
        <v>0.91</v>
      </c>
      <c r="M76" s="210">
        <f>F75</f>
        <v>0.91</v>
      </c>
      <c r="N76" s="275" t="s">
        <v>471</v>
      </c>
      <c r="O76" s="267" t="s">
        <v>290</v>
      </c>
      <c r="P76" s="275">
        <f>IF('4'!C36="x",C75,B75)</f>
        <v>0.91</v>
      </c>
      <c r="Q76" s="275">
        <f>IF('4'!C36="x",G75,F75)</f>
        <v>0.91</v>
      </c>
    </row>
    <row r="77" spans="2:27" s="185" customFormat="1" ht="15" customHeight="1" x14ac:dyDescent="0.25">
      <c r="B77" s="250">
        <f>Parameters!$H$94</f>
        <v>0.93</v>
      </c>
      <c r="C77" s="250">
        <f>Parameters!$I$94</f>
        <v>0.95</v>
      </c>
      <c r="F77" s="250">
        <f>Parameters!$H$94</f>
        <v>0.93</v>
      </c>
      <c r="G77" s="250">
        <f>Parameters!$I$94</f>
        <v>0.95</v>
      </c>
      <c r="L77" s="531">
        <f>B76</f>
        <v>0.93</v>
      </c>
      <c r="M77" s="210">
        <f>F76</f>
        <v>0.93</v>
      </c>
      <c r="N77" s="250" t="s">
        <v>472</v>
      </c>
      <c r="O77" s="533" t="s">
        <v>290</v>
      </c>
      <c r="P77" s="275">
        <f>IF(COUNTIF('4'!C34:C36,"x")&gt;0,C76,B76)</f>
        <v>0.93</v>
      </c>
      <c r="Q77" s="275">
        <f>IF(COUNTIF('4'!C34:C36,"x")&gt;0,G76,F76)</f>
        <v>0.93</v>
      </c>
      <c r="R77" s="135"/>
      <c r="S77" s="135"/>
      <c r="T77" s="285"/>
    </row>
    <row r="78" spans="2:27" s="185" customFormat="1" ht="15" customHeight="1" x14ac:dyDescent="0.25">
      <c r="B78" s="293">
        <f>VLOOKUP(B79,Parameters!$D$5:$O$19,10,FALSE)</f>
        <v>0.85</v>
      </c>
      <c r="C78" s="293">
        <f>VLOOKUP(C79,Parameters!$D$5:$O$19,11,FALSE)</f>
        <v>0.97</v>
      </c>
      <c r="F78" s="531">
        <f>VLOOKUP(F79,Parameters!$D$5:$O$19,10,FALSE)</f>
        <v>0.85</v>
      </c>
      <c r="G78" s="531">
        <f>VLOOKUP(G79,Parameters!$D$5:$O$19,11,FALSE)</f>
        <v>0.97</v>
      </c>
      <c r="L78" s="531">
        <f>B77</f>
        <v>0.93</v>
      </c>
      <c r="M78" s="210">
        <f>F77</f>
        <v>0.93</v>
      </c>
      <c r="N78" s="250" t="s">
        <v>473</v>
      </c>
      <c r="O78" s="533" t="s">
        <v>290</v>
      </c>
      <c r="P78" s="275">
        <f>IF('4'!C36="x",C77,B77)</f>
        <v>0.93</v>
      </c>
      <c r="Q78" s="275">
        <f>IF('4'!C36="x",G77,F77)</f>
        <v>0.93</v>
      </c>
      <c r="R78" s="135"/>
      <c r="S78" s="135"/>
      <c r="T78" s="302"/>
    </row>
    <row r="79" spans="2:27" s="185" customFormat="1" ht="15" customHeight="1" thickBot="1" x14ac:dyDescent="0.3">
      <c r="B79" s="553" t="str">
        <f>VLOOKUP('2'!E123,'2'!B124:C138,2,FALSE)</f>
        <v>Zemeljski plin</v>
      </c>
      <c r="C79" s="553" t="str">
        <f>IF('4'!$C$32="x",VLOOKUP('3'!$E$100,'3'!$B$101:$G$106,6,FALSE),B79)</f>
        <v>Zemeljski plin</v>
      </c>
      <c r="D79" s="246"/>
      <c r="F79" s="553" t="str">
        <f>VLOOKUP('2'!E151,'2'!B152:C166,2,FALSE)</f>
        <v>Zemeljski plin</v>
      </c>
      <c r="G79" s="553" t="str">
        <f>IF('4'!$C$32="x",VLOOKUP('3'!$E$100,'3'!$B$101:$H$106,7,FALSE),F79)</f>
        <v>Zemeljski plin</v>
      </c>
      <c r="L79" s="268">
        <f>B78</f>
        <v>0.85</v>
      </c>
      <c r="M79" s="268">
        <f>F78</f>
        <v>0.85</v>
      </c>
      <c r="N79" s="269" t="s">
        <v>474</v>
      </c>
      <c r="O79" s="270" t="s">
        <v>290</v>
      </c>
      <c r="P79" s="268">
        <f>IF('4'!C32="x",C78,B78)</f>
        <v>0.85</v>
      </c>
      <c r="Q79" s="268">
        <f>IF('4'!C32="x",G78,F78)</f>
        <v>0.85</v>
      </c>
      <c r="R79" s="135"/>
      <c r="S79" s="135"/>
    </row>
    <row r="80" spans="2:27" s="185" customFormat="1" ht="15" customHeight="1" thickTop="1" x14ac:dyDescent="0.25">
      <c r="B80" s="761" t="str">
        <f>'2'!H42</f>
        <v>raba toplote</v>
      </c>
      <c r="C80" s="762"/>
      <c r="F80" s="761" t="str">
        <f>B80</f>
        <v>raba toplote</v>
      </c>
      <c r="G80" s="762"/>
      <c r="L80" s="296">
        <f>L76*L77*L78*L79</f>
        <v>0.66900015000000002</v>
      </c>
      <c r="M80" s="296">
        <f>M76*M77*M78*M79</f>
        <v>0.66900015000000002</v>
      </c>
      <c r="N80" s="275" t="s">
        <v>293</v>
      </c>
      <c r="O80" s="267" t="s">
        <v>290</v>
      </c>
      <c r="P80" s="296">
        <f>P76*P77*P78*P79</f>
        <v>0.66900015000000002</v>
      </c>
      <c r="Q80" s="296">
        <f>Q76*Q77*Q78*Q79</f>
        <v>0.66900015000000002</v>
      </c>
      <c r="R80" s="135"/>
      <c r="S80" s="135"/>
    </row>
    <row r="81" spans="2:25" s="185" customFormat="1" ht="15" customHeight="1" x14ac:dyDescent="0.25">
      <c r="B81" s="533" t="str">
        <f>'2'!L42</f>
        <v>leto</v>
      </c>
      <c r="C81" s="533" t="str">
        <f>'2'!K44</f>
        <v>Sm³</v>
      </c>
      <c r="F81" s="533" t="str">
        <f>'2'!L56</f>
        <v>leto</v>
      </c>
      <c r="G81" s="533" t="str">
        <f>'2'!K58</f>
        <v>Sm³</v>
      </c>
      <c r="L81" s="169">
        <f>L84-L82</f>
        <v>0</v>
      </c>
      <c r="M81" s="169">
        <f>M84-M82</f>
        <v>0</v>
      </c>
      <c r="N81" s="534" t="s">
        <v>500</v>
      </c>
      <c r="O81" s="557" t="str">
        <f>O73</f>
        <v>kWh/leto</v>
      </c>
      <c r="P81" s="169" t="e">
        <f>P75/P80</f>
        <v>#DIV/0!</v>
      </c>
      <c r="Q81" s="169" t="e">
        <f>Q75/Q80</f>
        <v>#DIV/0!</v>
      </c>
      <c r="R81" s="135"/>
      <c r="S81" s="135"/>
    </row>
    <row r="82" spans="2:25" s="185" customFormat="1" ht="15" customHeight="1" x14ac:dyDescent="0.25">
      <c r="B82" s="194" t="str">
        <f>IF('2'!L44="","",'2'!L44)</f>
        <v/>
      </c>
      <c r="C82" s="193" t="str">
        <f>IF('2'!I44="","",IF('2'!I44=0,"",'2'!I44))</f>
        <v/>
      </c>
      <c r="F82" s="194" t="str">
        <f>IF('2'!L58="","",'2'!L58)</f>
        <v/>
      </c>
      <c r="G82" s="193" t="str">
        <f>IF('2'!I58="","",IF('2'!I58=0,"",'2'!I58))</f>
        <v/>
      </c>
      <c r="L82" s="188">
        <f>(L84*L83)/(1-L83)</f>
        <v>0</v>
      </c>
      <c r="M82" s="188">
        <f>(M84*M83)/(1-M83)</f>
        <v>0</v>
      </c>
      <c r="N82" s="534" t="s">
        <v>501</v>
      </c>
      <c r="O82" s="557" t="str">
        <f>O73</f>
        <v>kWh/leto</v>
      </c>
      <c r="P82" s="169">
        <f>L82*L79/P79</f>
        <v>0</v>
      </c>
      <c r="Q82" s="169">
        <f>M82*M79/Q79</f>
        <v>0</v>
      </c>
      <c r="R82" s="135"/>
      <c r="S82" s="135"/>
      <c r="T82" s="559"/>
      <c r="U82" s="559"/>
      <c r="V82" s="560"/>
      <c r="W82" s="543"/>
      <c r="X82" s="559"/>
      <c r="Y82" s="559"/>
    </row>
    <row r="83" spans="2:25" s="185" customFormat="1" ht="15" customHeight="1" x14ac:dyDescent="0.25">
      <c r="B83" s="194" t="str">
        <f>IF('2'!L46="","",'2'!L46)</f>
        <v/>
      </c>
      <c r="C83" s="193" t="str">
        <f>IF('2'!I46="","",IF('2'!I46=0,"",'2'!I46))</f>
        <v/>
      </c>
      <c r="F83" s="194" t="str">
        <f>IF('2'!L60="","",'2'!L60)</f>
        <v/>
      </c>
      <c r="G83" s="193" t="str">
        <f>IF('2'!I60="","",IF('2'!I60=0,"",'2'!I60))</f>
        <v/>
      </c>
      <c r="L83" s="171">
        <f>IF(OR(H89=F91,H89=F93),HLOOKUP('2'!E91,Parameters!I81:N86,5,FALSE)/100,0)</f>
        <v>0</v>
      </c>
      <c r="M83" s="171">
        <f>IF(OR(H89=F92,H89=F93),HLOOKUP('2'!E91,Parameters!I81:N86,5,FALSE)/100,0)</f>
        <v>0</v>
      </c>
      <c r="N83" s="534" t="s">
        <v>501</v>
      </c>
      <c r="O83" s="533" t="s">
        <v>290</v>
      </c>
      <c r="P83" s="171">
        <f>L83</f>
        <v>0</v>
      </c>
      <c r="Q83" s="171">
        <f>M83</f>
        <v>0</v>
      </c>
      <c r="R83" s="135"/>
      <c r="S83" s="135"/>
      <c r="V83" s="542"/>
      <c r="W83" s="543"/>
      <c r="X83" s="544"/>
    </row>
    <row r="84" spans="2:25" s="185" customFormat="1" ht="15" customHeight="1" x14ac:dyDescent="0.25">
      <c r="B84" s="194" t="str">
        <f>IF('2'!L48="","",'2'!L48)</f>
        <v/>
      </c>
      <c r="C84" s="325" t="str">
        <f>IF('2'!I48="","",IF('2'!I48=0,"",'2'!I48))</f>
        <v/>
      </c>
      <c r="F84" s="194" t="str">
        <f>IF('2'!L62="","",'2'!L62)</f>
        <v/>
      </c>
      <c r="G84" s="193" t="str">
        <f>IF('2'!I62="","",IF('2'!I62=0,"",'2'!I62))</f>
        <v/>
      </c>
      <c r="L84" s="169">
        <f>C85*VLOOKUP(B79,'2'!C124:M138,8,FALSE)</f>
        <v>0</v>
      </c>
      <c r="M84" s="169">
        <f>G85*VLOOKUP(F79,'2'!C152:O166,8,FALSE)</f>
        <v>0</v>
      </c>
      <c r="N84" s="551" t="s">
        <v>502</v>
      </c>
      <c r="O84" s="557" t="str">
        <f>O73</f>
        <v>kWh/leto</v>
      </c>
      <c r="P84" s="169" t="e">
        <f>P81+P82</f>
        <v>#DIV/0!</v>
      </c>
      <c r="Q84" s="169" t="e">
        <f>Q81+Q82</f>
        <v>#DIV/0!</v>
      </c>
      <c r="R84" s="216"/>
      <c r="T84" s="216"/>
      <c r="U84" s="216"/>
      <c r="V84" s="549"/>
      <c r="W84" s="550"/>
      <c r="X84" s="216"/>
      <c r="Y84" s="216"/>
    </row>
    <row r="85" spans="2:25" s="185" customFormat="1" ht="15" customHeight="1" x14ac:dyDescent="0.25">
      <c r="B85" s="135"/>
      <c r="C85" s="169">
        <f>IF(COUNTBLANK(C82:C84)=3,0,AVERAGE(C82:C84))</f>
        <v>0</v>
      </c>
      <c r="F85" s="302"/>
      <c r="G85" s="169">
        <f>IF(COUNTBLANK(G82:G84)=3,0,AVERAGE(G82:G84))</f>
        <v>0</v>
      </c>
      <c r="L85" s="169"/>
      <c r="M85" s="169"/>
      <c r="N85" s="551" t="s">
        <v>1729</v>
      </c>
      <c r="O85" s="557" t="str">
        <f>O84</f>
        <v>kWh/leto</v>
      </c>
      <c r="P85" s="169">
        <f>IF('4'!$C$45="x",(HLOOKUP('2'!E91,Parameters!I81:O88,7,FALSE)/100)*N103*'4'!O45*(P75/$P$73),0)</f>
        <v>0</v>
      </c>
      <c r="Q85" s="169">
        <f>IF('4'!$C$45="x",(HLOOKUP('2'!E91,Parameters!I81:O88,7,FALSE)/100)*N103*'4'!O45*(Q75/$P$73),0)</f>
        <v>0</v>
      </c>
      <c r="R85" s="216"/>
    </row>
    <row r="86" spans="2:25" s="185" customFormat="1" ht="15" customHeight="1" x14ac:dyDescent="0.25">
      <c r="L86" s="169"/>
      <c r="M86" s="169"/>
      <c r="N86" s="551" t="s">
        <v>505</v>
      </c>
      <c r="O86" s="557" t="str">
        <f>O85</f>
        <v>kWh/leto</v>
      </c>
      <c r="P86" s="169" t="e">
        <f>IF(OR(C79='F+T Translation'!$B$39,C79='F+T Translation'!$B$40),P84-P85,P84)</f>
        <v>#DIV/0!</v>
      </c>
      <c r="Q86" s="169" t="e">
        <f>IF(OR(G79='F+T Translation'!$B$39,G79='F+T Translation'!$B$40),Q84-Q85,Q84)</f>
        <v>#DIV/0!</v>
      </c>
      <c r="R86" s="216"/>
    </row>
    <row r="87" spans="2:25" s="185" customFormat="1" ht="15" customHeight="1" x14ac:dyDescent="0.25">
      <c r="L87" s="169"/>
      <c r="M87" s="169"/>
      <c r="N87" s="551" t="s">
        <v>505</v>
      </c>
      <c r="O87" s="557" t="str">
        <f>O86</f>
        <v>kWh/leto</v>
      </c>
      <c r="P87" s="169" t="e">
        <f>IF(P86&lt;0,0,P86)</f>
        <v>#DIV/0!</v>
      </c>
      <c r="Q87" s="169" t="e">
        <f>IF(Q86&lt;0,0,Q86)</f>
        <v>#DIV/0!</v>
      </c>
      <c r="R87" s="216"/>
    </row>
    <row r="88" spans="2:25" s="185" customFormat="1" ht="15" customHeight="1" x14ac:dyDescent="0.25">
      <c r="L88" s="171">
        <f>VLOOKUP(B79,'2'!C124:O138,12,FALSE)</f>
        <v>7.7319587628865982E-2</v>
      </c>
      <c r="M88" s="171">
        <f>VLOOKUP(F79,'2'!C152:O166,12,FALSE)</f>
        <v>7.7319587628865982E-2</v>
      </c>
      <c r="N88" s="551" t="s">
        <v>502</v>
      </c>
      <c r="O88" s="561" t="str">
        <f>'2'!P50</f>
        <v xml:space="preserve"> €/kWh</v>
      </c>
      <c r="P88" s="171">
        <f>VLOOKUP(C79,'2'!C124:O138,12,FALSE)</f>
        <v>7.7319587628865982E-2</v>
      </c>
      <c r="Q88" s="171">
        <f>VLOOKUP(G79,'2'!C152:O166,12,FALSE)</f>
        <v>7.7319587628865982E-2</v>
      </c>
    </row>
    <row r="89" spans="2:25" s="185" customFormat="1" ht="15" customHeight="1" thickBot="1" x14ac:dyDescent="0.3">
      <c r="B89" s="753" t="str">
        <f>'2'!H69</f>
        <v>raba elektrike</v>
      </c>
      <c r="C89" s="753"/>
      <c r="F89" s="753" t="str">
        <f>Translation!C65</f>
        <v>Vključno s sanitarno toplo vodo</v>
      </c>
      <c r="G89" s="753"/>
      <c r="H89" s="436">
        <f>'2'!E145</f>
        <v>1</v>
      </c>
      <c r="L89" s="554">
        <f>L84*L88</f>
        <v>0</v>
      </c>
      <c r="M89" s="554">
        <f>M84*M88</f>
        <v>0</v>
      </c>
      <c r="N89" s="555" t="s">
        <v>502</v>
      </c>
      <c r="O89" s="556" t="str">
        <f>Translation!C20</f>
        <v>€/leto</v>
      </c>
      <c r="P89" s="554" t="e">
        <f>P87*P88</f>
        <v>#DIV/0!</v>
      </c>
      <c r="Q89" s="554" t="e">
        <f>Q87*Q88</f>
        <v>#DIV/0!</v>
      </c>
    </row>
    <row r="90" spans="2:25" s="185" customFormat="1" ht="15" customHeight="1" thickTop="1" x14ac:dyDescent="0.25">
      <c r="B90" s="314" t="str">
        <f>'2'!L69</f>
        <v>leto</v>
      </c>
      <c r="C90" s="314" t="str">
        <f>'2'!K71</f>
        <v>kWh</v>
      </c>
      <c r="F90" s="436">
        <f>'2'!B146</f>
        <v>1</v>
      </c>
      <c r="G90" s="568" t="str">
        <f>'2'!C146</f>
        <v>Ne</v>
      </c>
      <c r="H90" s="541"/>
      <c r="L90" s="280"/>
      <c r="M90" s="562">
        <f>M89+L89</f>
        <v>0</v>
      </c>
      <c r="N90" s="563" t="s">
        <v>516</v>
      </c>
      <c r="O90" s="564" t="str">
        <f>O89</f>
        <v>€/leto</v>
      </c>
      <c r="P90" s="562" t="e">
        <f>P89+Q89</f>
        <v>#DIV/0!</v>
      </c>
      <c r="Q90" s="280"/>
    </row>
    <row r="91" spans="2:25" s="185" customFormat="1" ht="15" customHeight="1" x14ac:dyDescent="0.25">
      <c r="B91" s="194" t="str">
        <f>IF('2'!L71="","",'2'!L71)</f>
        <v/>
      </c>
      <c r="C91" s="193" t="str">
        <f>IF('2'!I71="","",IF('2'!I71=0,"",'2'!I71))</f>
        <v/>
      </c>
      <c r="F91" s="436">
        <f>'2'!B147</f>
        <v>2</v>
      </c>
      <c r="G91" s="568" t="str">
        <f>'2'!C147</f>
        <v>samo energent 1</v>
      </c>
      <c r="H91" s="541"/>
      <c r="L91" s="531"/>
      <c r="M91" s="169"/>
      <c r="N91" s="534" t="s">
        <v>525</v>
      </c>
      <c r="O91" s="557" t="s">
        <v>27</v>
      </c>
      <c r="P91" s="171">
        <f>IF('4'!C49="x",'4'!O49/100,0)</f>
        <v>0</v>
      </c>
      <c r="Q91" s="171"/>
    </row>
    <row r="92" spans="2:25" s="185" customFormat="1" ht="15" customHeight="1" x14ac:dyDescent="0.25">
      <c r="B92" s="194" t="str">
        <f>IF('2'!L73="","",'2'!L73)</f>
        <v/>
      </c>
      <c r="C92" s="193" t="str">
        <f>IF('2'!I73="","",IF('2'!I73=0,"",'2'!I73))</f>
        <v/>
      </c>
      <c r="F92" s="436">
        <f>'2'!B148</f>
        <v>3</v>
      </c>
      <c r="G92" s="568" t="str">
        <f>'2'!C148</f>
        <v>samo energent 2</v>
      </c>
      <c r="H92" s="541"/>
      <c r="L92" s="169"/>
      <c r="M92" s="169"/>
      <c r="N92" s="534" t="s">
        <v>525</v>
      </c>
      <c r="O92" s="557" t="str">
        <f>O89</f>
        <v>€/leto</v>
      </c>
      <c r="P92" s="169" t="e">
        <f>(M90-P90)*P91</f>
        <v>#DIV/0!</v>
      </c>
      <c r="Q92" s="169"/>
    </row>
    <row r="93" spans="2:25" s="185" customFormat="1" ht="15" customHeight="1" x14ac:dyDescent="0.25">
      <c r="B93" s="194" t="str">
        <f>IF('2'!L75="","",'2'!L75)</f>
        <v/>
      </c>
      <c r="C93" s="325" t="str">
        <f>IF('2'!I75="","",IF('2'!I75=0,"",'2'!I75))</f>
        <v/>
      </c>
      <c r="F93" s="436">
        <f>'2'!B149</f>
        <v>4</v>
      </c>
      <c r="G93" s="568" t="str">
        <f>'2'!C149</f>
        <v>oba energenta</v>
      </c>
      <c r="H93" s="541"/>
      <c r="L93" s="531"/>
      <c r="M93" s="531"/>
      <c r="N93" s="534" t="s">
        <v>532</v>
      </c>
      <c r="O93" s="557" t="str">
        <f>O92</f>
        <v>€/leto</v>
      </c>
      <c r="P93" s="169" t="e">
        <f>-(M90*P94/100)</f>
        <v>#DIV/0!</v>
      </c>
      <c r="Q93" s="531"/>
      <c r="S93" s="216"/>
    </row>
    <row r="94" spans="2:25" s="185" customFormat="1" ht="15" customHeight="1" x14ac:dyDescent="0.25">
      <c r="B94" s="135"/>
      <c r="C94" s="169">
        <f>IF(COUNTBLANK(C91:C93)=3,0,AVERAGE(C91:C93))</f>
        <v>0</v>
      </c>
      <c r="L94" s="531"/>
      <c r="M94" s="531"/>
      <c r="N94" s="282" t="s">
        <v>503</v>
      </c>
      <c r="O94" s="318" t="s">
        <v>27</v>
      </c>
      <c r="P94" s="319" t="e">
        <f>IF(AND(Parameters!J98&gt;0,Parameters!J98&lt;1),-(((M90-P90)-P92)/M90*100)*Parameters!J98,-(((M90-P90)-P92)/M90*100))</f>
        <v>#DIV/0!</v>
      </c>
      <c r="Q94" s="531"/>
    </row>
    <row r="95" spans="2:25" s="185" customFormat="1" ht="15" customHeight="1" x14ac:dyDescent="0.25">
      <c r="N95" s="542"/>
      <c r="O95" s="543"/>
      <c r="P95" s="544"/>
    </row>
    <row r="96" spans="2:25" x14ac:dyDescent="0.25">
      <c r="B96" s="761" t="str">
        <f>Translation!C152</f>
        <v>Ocenjeni prihranki pri porabi električne energije</v>
      </c>
      <c r="C96" s="763"/>
      <c r="D96" s="763"/>
      <c r="E96" s="763"/>
      <c r="F96" s="763"/>
      <c r="G96" s="763"/>
      <c r="H96" s="763"/>
      <c r="I96" s="763"/>
      <c r="J96" s="763"/>
      <c r="K96" s="763"/>
      <c r="L96" s="763"/>
      <c r="M96" s="763"/>
      <c r="N96" s="763"/>
      <c r="O96" s="763"/>
      <c r="P96" s="763"/>
      <c r="Q96" s="763"/>
      <c r="R96" s="763"/>
      <c r="S96" s="762"/>
      <c r="T96" s="302"/>
    </row>
    <row r="97" spans="2:19" ht="15" customHeight="1" x14ac:dyDescent="0.25">
      <c r="B97" s="314" t="s">
        <v>507</v>
      </c>
      <c r="C97" s="314" t="s">
        <v>508</v>
      </c>
      <c r="D97" s="314" t="s">
        <v>508</v>
      </c>
      <c r="E97" s="314" t="s">
        <v>739</v>
      </c>
      <c r="F97" s="314" t="s">
        <v>509</v>
      </c>
      <c r="G97" s="314" t="s">
        <v>509</v>
      </c>
      <c r="H97" s="314" t="s">
        <v>739</v>
      </c>
      <c r="I97" s="314" t="s">
        <v>512</v>
      </c>
      <c r="J97" s="314" t="s">
        <v>512</v>
      </c>
      <c r="K97" s="321" t="s">
        <v>523</v>
      </c>
      <c r="L97" s="321" t="s">
        <v>522</v>
      </c>
      <c r="M97" s="321" t="s">
        <v>522</v>
      </c>
      <c r="N97" s="314" t="s">
        <v>524</v>
      </c>
      <c r="O97" s="314" t="s">
        <v>513</v>
      </c>
      <c r="P97" s="314" t="s">
        <v>514</v>
      </c>
      <c r="Q97" s="314" t="s">
        <v>517</v>
      </c>
      <c r="R97" s="314" t="s">
        <v>507</v>
      </c>
      <c r="S97" s="318" t="s">
        <v>515</v>
      </c>
    </row>
    <row r="98" spans="2:19" ht="15" customHeight="1" x14ac:dyDescent="0.25">
      <c r="B98" s="314" t="str">
        <f>C90</f>
        <v>kWh</v>
      </c>
      <c r="C98" s="314" t="s">
        <v>290</v>
      </c>
      <c r="D98" s="314" t="str">
        <f>B98</f>
        <v>kWh</v>
      </c>
      <c r="E98" s="314" t="s">
        <v>290</v>
      </c>
      <c r="F98" s="314" t="s">
        <v>290</v>
      </c>
      <c r="G98" s="314" t="str">
        <f>D98</f>
        <v>kWh</v>
      </c>
      <c r="H98" s="314" t="s">
        <v>290</v>
      </c>
      <c r="I98" s="314" t="s">
        <v>290</v>
      </c>
      <c r="J98" s="314" t="str">
        <f>G98</f>
        <v>kWh</v>
      </c>
      <c r="K98" s="321" t="str">
        <f>G98</f>
        <v>kWh</v>
      </c>
      <c r="L98" s="321" t="s">
        <v>290</v>
      </c>
      <c r="M98" s="321" t="str">
        <f>J98</f>
        <v>kWh</v>
      </c>
      <c r="N98" s="314" t="str">
        <f>J98</f>
        <v>kWh</v>
      </c>
      <c r="O98" s="314" t="str">
        <f>N98</f>
        <v>kWh</v>
      </c>
      <c r="P98" s="314" t="str">
        <f>J98</f>
        <v>kWh</v>
      </c>
      <c r="Q98" s="314" t="s">
        <v>27</v>
      </c>
      <c r="R98" s="314" t="str">
        <f>'2'!P77</f>
        <v xml:space="preserve"> €/kWh</v>
      </c>
      <c r="S98" s="314" t="s">
        <v>50</v>
      </c>
    </row>
    <row r="99" spans="2:19" ht="15" customHeight="1" x14ac:dyDescent="0.25">
      <c r="B99" s="169">
        <f>C94</f>
        <v>0</v>
      </c>
      <c r="C99" s="171">
        <f>HLOOKUP('2'!E91,Parameters!I81:O889,6,FALSE)/100</f>
        <v>0.6</v>
      </c>
      <c r="D99" s="169">
        <f>B99*C99</f>
        <v>0</v>
      </c>
      <c r="E99" s="171">
        <f>IF('4'!O40&gt;100,1,'4'!O40/100)</f>
        <v>0</v>
      </c>
      <c r="F99" s="171">
        <f>Parameters!J66/100</f>
        <v>0.38</v>
      </c>
      <c r="G99" s="169">
        <f>IF('4'!C40="x",((1-(E99*F99))*D99),D99)</f>
        <v>0</v>
      </c>
      <c r="H99" s="171">
        <f>IF('4'!O42&gt;100,1,'4'!O42/100)</f>
        <v>0</v>
      </c>
      <c r="I99" s="171">
        <f>Parameters!J67/100</f>
        <v>0.2</v>
      </c>
      <c r="J99" s="169">
        <f>IF('4'!C42="x",((1-(H99*I99))*G99),G99)</f>
        <v>0</v>
      </c>
      <c r="K99" s="169">
        <f>(B99-D99)+J99</f>
        <v>0</v>
      </c>
      <c r="L99" s="171">
        <f>IF('4'!C51="x",'4'!O51/100,0)</f>
        <v>0</v>
      </c>
      <c r="M99" s="169">
        <f>K99*L99</f>
        <v>0</v>
      </c>
      <c r="N99" s="169">
        <f>K99-M99</f>
        <v>0</v>
      </c>
      <c r="O99" s="169">
        <f>IF('4'!C47="x",(HLOOKUP('2'!E91,Parameters!I81:O88,8,FALSE)/100)*O103*'4'!O47,0)</f>
        <v>0</v>
      </c>
      <c r="P99" s="169">
        <f>N99-O99</f>
        <v>0</v>
      </c>
      <c r="Q99" s="327" t="e">
        <f>-(B99-P99)/B99*100</f>
        <v>#DIV/0!</v>
      </c>
      <c r="R99" s="171">
        <f>IF('3'!L52="",'3'!I52,'3'!L52)</f>
        <v>0.23</v>
      </c>
      <c r="S99" s="281">
        <f>(B99-P99)*R99</f>
        <v>0</v>
      </c>
    </row>
    <row r="100" spans="2:19" ht="15" customHeight="1" x14ac:dyDescent="0.25"/>
    <row r="101" spans="2:19" x14ac:dyDescent="0.25">
      <c r="B101" s="753" t="str">
        <f>'F+T Translation'!B101</f>
        <v>Proizvodnja elektrike iz FV med obdobjem ogrevanja</v>
      </c>
      <c r="C101" s="753"/>
      <c r="D101" s="753"/>
      <c r="E101" s="753"/>
      <c r="F101" s="753"/>
      <c r="G101" s="753"/>
      <c r="H101" s="753"/>
      <c r="I101" s="753"/>
      <c r="J101" s="753"/>
      <c r="K101" s="753"/>
      <c r="L101" s="753"/>
      <c r="M101" s="753"/>
      <c r="N101" s="753"/>
      <c r="O101" s="753" t="str">
        <f>Parameters!W32</f>
        <v xml:space="preserve">Proizvodnja elektrike FV </v>
      </c>
      <c r="P101" s="753"/>
    </row>
    <row r="102" spans="2:19" x14ac:dyDescent="0.25">
      <c r="B102" s="317" t="str">
        <f>B49</f>
        <v>Jan.</v>
      </c>
      <c r="C102" s="317" t="str">
        <f t="shared" ref="C102:M102" si="111">C49</f>
        <v>Feb.</v>
      </c>
      <c r="D102" s="317" t="str">
        <f t="shared" si="111"/>
        <v>Mar.</v>
      </c>
      <c r="E102" s="317" t="str">
        <f t="shared" si="111"/>
        <v>Apr.</v>
      </c>
      <c r="F102" s="317" t="str">
        <f t="shared" si="111"/>
        <v>Maj</v>
      </c>
      <c r="G102" s="317" t="str">
        <f t="shared" si="111"/>
        <v>Jun.</v>
      </c>
      <c r="H102" s="317" t="str">
        <f t="shared" si="111"/>
        <v>Jul.</v>
      </c>
      <c r="I102" s="317" t="str">
        <f t="shared" si="111"/>
        <v>Avg.</v>
      </c>
      <c r="J102" s="317" t="str">
        <f t="shared" si="111"/>
        <v>Sep.</v>
      </c>
      <c r="K102" s="317" t="str">
        <f t="shared" si="111"/>
        <v>Okt.</v>
      </c>
      <c r="L102" s="317" t="str">
        <f t="shared" si="111"/>
        <v>Nov.</v>
      </c>
      <c r="M102" s="317" t="str">
        <f t="shared" si="111"/>
        <v>Dec.</v>
      </c>
      <c r="N102" s="329" t="s">
        <v>520</v>
      </c>
      <c r="O102" s="753"/>
      <c r="P102" s="753"/>
    </row>
    <row r="103" spans="2:19" ht="15" customHeight="1" x14ac:dyDescent="0.25">
      <c r="B103" s="188">
        <f t="shared" ref="B103:M103" si="112">(B35/B34)*(B43/100)*$O$103</f>
        <v>30.45</v>
      </c>
      <c r="C103" s="188">
        <f t="shared" si="112"/>
        <v>45.15</v>
      </c>
      <c r="D103" s="188">
        <f t="shared" si="112"/>
        <v>38.104838709677423</v>
      </c>
      <c r="E103" s="188">
        <f t="shared" si="112"/>
        <v>0</v>
      </c>
      <c r="F103" s="188">
        <f t="shared" si="112"/>
        <v>0</v>
      </c>
      <c r="G103" s="188">
        <f t="shared" si="112"/>
        <v>0</v>
      </c>
      <c r="H103" s="188">
        <f t="shared" si="112"/>
        <v>0</v>
      </c>
      <c r="I103" s="188">
        <f t="shared" si="112"/>
        <v>0</v>
      </c>
      <c r="J103" s="188">
        <f t="shared" si="112"/>
        <v>0</v>
      </c>
      <c r="K103" s="188">
        <f t="shared" si="112"/>
        <v>0</v>
      </c>
      <c r="L103" s="188">
        <f t="shared" si="112"/>
        <v>0</v>
      </c>
      <c r="M103" s="188">
        <f t="shared" si="112"/>
        <v>26.25</v>
      </c>
      <c r="N103" s="188">
        <f>SUM(B103:L103)</f>
        <v>113.70483870967742</v>
      </c>
      <c r="O103" s="169">
        <f>VLOOKUP(VLOOKUP('2'!E107,'2'!B108:C121,2,FALSE),Parameters!E34:X47,19,FALSE)</f>
        <v>1050</v>
      </c>
      <c r="P103" s="317" t="str">
        <f>Translation!C16&amp;"*"&amp;Translation!C19</f>
        <v>kWh/leto*kWp</v>
      </c>
    </row>
    <row r="104" spans="2:19" ht="15" customHeight="1" x14ac:dyDescent="0.25"/>
    <row r="105" spans="2:19" ht="15" customHeight="1" x14ac:dyDescent="0.25">
      <c r="C105" s="302"/>
      <c r="D105" s="302"/>
      <c r="E105" s="302"/>
      <c r="F105" s="302"/>
      <c r="G105" s="302"/>
      <c r="H105" s="302"/>
      <c r="I105" s="302"/>
      <c r="J105" s="302"/>
      <c r="K105" s="302"/>
      <c r="L105" s="302"/>
      <c r="M105" s="302"/>
    </row>
    <row r="106" spans="2:19" ht="15" customHeight="1" x14ac:dyDescent="0.25">
      <c r="L106" s="326"/>
    </row>
    <row r="107" spans="2:19" ht="15" customHeight="1" x14ac:dyDescent="0.25"/>
    <row r="108" spans="2:19" ht="15" customHeight="1" x14ac:dyDescent="0.25"/>
    <row r="109" spans="2:19" ht="15" customHeight="1" x14ac:dyDescent="0.25"/>
    <row r="110" spans="2:19" ht="15" customHeight="1" x14ac:dyDescent="0.25"/>
    <row r="111" spans="2:19" ht="15" customHeight="1" x14ac:dyDescent="0.25"/>
    <row r="112" spans="2:19"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sheetData>
  <sheetProtection password="A2E2" sheet="1" objects="1" scenarios="1" selectLockedCells="1"/>
  <mergeCells count="40">
    <mergeCell ref="AA28:AB28"/>
    <mergeCell ref="E27:J27"/>
    <mergeCell ref="B48:M48"/>
    <mergeCell ref="P48:AA48"/>
    <mergeCell ref="B32:M32"/>
    <mergeCell ref="P32:AA32"/>
    <mergeCell ref="B41:M41"/>
    <mergeCell ref="P41:AA41"/>
    <mergeCell ref="B37:M37"/>
    <mergeCell ref="P37:AA37"/>
    <mergeCell ref="B19:C19"/>
    <mergeCell ref="E46:R46"/>
    <mergeCell ref="B45:B46"/>
    <mergeCell ref="D45:D46"/>
    <mergeCell ref="B14:C14"/>
    <mergeCell ref="E45:R45"/>
    <mergeCell ref="O13:Y13"/>
    <mergeCell ref="D2:E2"/>
    <mergeCell ref="D3:E3"/>
    <mergeCell ref="D4:E4"/>
    <mergeCell ref="L14:M14"/>
    <mergeCell ref="D14:F14"/>
    <mergeCell ref="B7:M7"/>
    <mergeCell ref="B13:M13"/>
    <mergeCell ref="O2:O3"/>
    <mergeCell ref="Q8:R8"/>
    <mergeCell ref="S8:T8"/>
    <mergeCell ref="P2:Y2"/>
    <mergeCell ref="U8:V8"/>
    <mergeCell ref="O7:Y7"/>
    <mergeCell ref="H14:J14"/>
    <mergeCell ref="B73:C73"/>
    <mergeCell ref="B80:C80"/>
    <mergeCell ref="F73:G73"/>
    <mergeCell ref="F80:G80"/>
    <mergeCell ref="O101:P102"/>
    <mergeCell ref="B101:N101"/>
    <mergeCell ref="B89:C89"/>
    <mergeCell ref="B96:S96"/>
    <mergeCell ref="F89:G89"/>
  </mergeCells>
  <conditionalFormatting sqref="K17">
    <cfRule type="cellIs" dxfId="1" priority="7" operator="equal">
      <formula>$Q$17</formula>
    </cfRule>
  </conditionalFormatting>
  <conditionalFormatting sqref="G17">
    <cfRule type="cellIs" dxfId="0" priority="52" operator="equal">
      <formula>$P$17</formula>
    </cfRule>
  </conditionalFormatting>
  <pageMargins left="0.7" right="0.7" top="0.75" bottom="0.75" header="0.3" footer="0.3"/>
  <pageSetup paperSize="9" orientation="portrait" r:id="rId1"/>
  <ignoredErrors>
    <ignoredError sqref="G11 I11 K11 C53:M53 C56:M60 V55 P52:Z54 P56:Z59 P55:U55 W55:Z55 AA52:AA59 Q67 C62:M62 H30:T30 U29:V30 P77:Q7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X42"/>
  <sheetViews>
    <sheetView workbookViewId="0">
      <selection activeCell="G2" sqref="G2"/>
    </sheetView>
  </sheetViews>
  <sheetFormatPr defaultRowHeight="12" x14ac:dyDescent="0.25"/>
  <cols>
    <col min="1" max="1" width="3.28515625" style="594" customWidth="1"/>
    <col min="2" max="2" width="26.5703125" style="594" customWidth="1"/>
    <col min="3" max="3" width="15.5703125" style="594" customWidth="1"/>
    <col min="4" max="4" width="24" style="594" customWidth="1"/>
    <col min="5" max="24" width="12.7109375" style="594" customWidth="1"/>
    <col min="25" max="16384" width="9.140625" style="594"/>
  </cols>
  <sheetData>
    <row r="2" spans="2:11" x14ac:dyDescent="0.25">
      <c r="B2" s="590"/>
      <c r="C2" s="591"/>
      <c r="D2" s="592" t="str">
        <f>Translation!C150</f>
        <v>Naložba</v>
      </c>
      <c r="E2" s="593">
        <f>SUM('3'!O7:O37)</f>
        <v>0</v>
      </c>
    </row>
    <row r="3" spans="2:11" x14ac:dyDescent="0.25">
      <c r="B3" s="590"/>
      <c r="C3" s="591"/>
      <c r="D3" s="592" t="str">
        <f>Translation!C106</f>
        <v>Stroški načrtovanja in gradnje</v>
      </c>
      <c r="E3" s="593">
        <f>'3'!O40</f>
        <v>0</v>
      </c>
    </row>
    <row r="4" spans="2:11" x14ac:dyDescent="0.25">
      <c r="B4" s="590"/>
      <c r="C4" s="591"/>
      <c r="D4" s="592" t="str">
        <f>Translation!C107</f>
        <v>Stroški varovanja gradbišča</v>
      </c>
      <c r="E4" s="593">
        <f>'3'!O42</f>
        <v>0</v>
      </c>
    </row>
    <row r="5" spans="2:11" x14ac:dyDescent="0.25">
      <c r="B5" s="590"/>
      <c r="C5" s="591"/>
      <c r="D5" s="592" t="str">
        <f>Translation!C108</f>
        <v>DDV</v>
      </c>
      <c r="E5" s="593">
        <f>'3'!O44</f>
        <v>0</v>
      </c>
    </row>
    <row r="6" spans="2:11" x14ac:dyDescent="0.25">
      <c r="B6" s="590"/>
      <c r="C6" s="591"/>
      <c r="D6" s="595" t="str">
        <f>Translation!C109</f>
        <v>Skupaj</v>
      </c>
      <c r="E6" s="596">
        <f>'3'!O46</f>
        <v>0</v>
      </c>
    </row>
    <row r="7" spans="2:11" x14ac:dyDescent="0.25">
      <c r="B7" s="597"/>
      <c r="C7" s="591"/>
      <c r="D7" s="592" t="str">
        <f>Translation!C169</f>
        <v>Lastni kapital</v>
      </c>
      <c r="E7" s="593" t="e">
        <f>'5'!I38</f>
        <v>#VALUE!</v>
      </c>
    </row>
    <row r="8" spans="2:11" x14ac:dyDescent="0.25">
      <c r="B8" s="590"/>
      <c r="C8" s="591"/>
      <c r="D8" s="592" t="str">
        <f>Translation!C170</f>
        <v>Znesek posojila</v>
      </c>
      <c r="E8" s="593">
        <f>'5'!I34</f>
        <v>0</v>
      </c>
    </row>
    <row r="9" spans="2:11" x14ac:dyDescent="0.25">
      <c r="B9" s="590"/>
      <c r="C9" s="591"/>
      <c r="D9" s="592" t="str">
        <f>Translation!C164</f>
        <v>Subvencija</v>
      </c>
      <c r="E9" s="593" t="e">
        <f>'5'!I28</f>
        <v>#VALUE!</v>
      </c>
    </row>
    <row r="10" spans="2:11" x14ac:dyDescent="0.25">
      <c r="B10" s="598"/>
      <c r="C10" s="598"/>
      <c r="D10" s="598"/>
      <c r="E10" s="599"/>
      <c r="F10" s="600"/>
    </row>
    <row r="11" spans="2:11" x14ac:dyDescent="0.25">
      <c r="B11" s="778" t="str">
        <f>'F+T Translation'!B109</f>
        <v>Tabela amortizacije</v>
      </c>
      <c r="C11" s="779"/>
      <c r="D11" s="779"/>
      <c r="E11" s="780"/>
    </row>
    <row r="12" spans="2:11" x14ac:dyDescent="0.25">
      <c r="B12" s="601" t="str">
        <f>Translation!C170</f>
        <v>Znesek posojila</v>
      </c>
      <c r="C12" s="602">
        <f>E8</f>
        <v>0</v>
      </c>
      <c r="D12" s="601" t="str">
        <f>'F+T Translation'!B104</f>
        <v>Letni obroki</v>
      </c>
      <c r="E12" s="603">
        <v>1</v>
      </c>
    </row>
    <row r="13" spans="2:11" x14ac:dyDescent="0.25">
      <c r="B13" s="601" t="str">
        <f>Translation!C160</f>
        <v>Letna obrestna mera</v>
      </c>
      <c r="C13" s="604">
        <f>'5'!N36/100</f>
        <v>0</v>
      </c>
      <c r="D13" s="605" t="str">
        <f>'F+T Translation'!B105</f>
        <v>Št. obrokov posojila</v>
      </c>
      <c r="E13" s="603">
        <f>C14</f>
        <v>0</v>
      </c>
      <c r="G13" s="606"/>
      <c r="H13" s="369"/>
      <c r="K13" s="607"/>
    </row>
    <row r="14" spans="2:11" x14ac:dyDescent="0.25">
      <c r="B14" s="608" t="str">
        <f>Translation!C171&amp;" ("&amp;Translation!C21&amp;")"</f>
        <v>Obdobje posojila (leta)</v>
      </c>
      <c r="C14" s="609">
        <f>'5'!J45</f>
        <v>0</v>
      </c>
      <c r="D14" s="608" t="str">
        <f>'F+T Translation'!B106</f>
        <v>Začetek posojila</v>
      </c>
      <c r="E14" s="610">
        <f ca="1">Parameters!J100</f>
        <v>43466</v>
      </c>
      <c r="F14" s="590"/>
      <c r="G14" s="611" t="str">
        <f>'F+T Translation'!B108</f>
        <v>Predvideni obrok</v>
      </c>
      <c r="H14" s="612" t="e">
        <f>PMT(C13/E12,E13,-C12)</f>
        <v>#NUM!</v>
      </c>
    </row>
    <row r="15" spans="2:11" x14ac:dyDescent="0.25">
      <c r="B15" s="613"/>
      <c r="C15" s="614"/>
      <c r="D15" s="613"/>
      <c r="E15" s="615"/>
      <c r="G15" s="370"/>
      <c r="H15" s="371"/>
      <c r="J15" s="606"/>
      <c r="K15" s="606"/>
    </row>
    <row r="16" spans="2:11" ht="22.5" customHeight="1" x14ac:dyDescent="0.25">
      <c r="B16" s="380" t="s">
        <v>600</v>
      </c>
      <c r="C16" s="380" t="s">
        <v>601</v>
      </c>
      <c r="D16" s="381" t="s">
        <v>602</v>
      </c>
      <c r="E16" s="381" t="s">
        <v>603</v>
      </c>
      <c r="F16" s="376" t="s">
        <v>604</v>
      </c>
      <c r="G16" s="376" t="s">
        <v>605</v>
      </c>
      <c r="H16" s="376" t="s">
        <v>606</v>
      </c>
      <c r="J16" s="616"/>
      <c r="K16" s="616"/>
    </row>
    <row r="17" spans="2:17" x14ac:dyDescent="0.25">
      <c r="B17" s="372">
        <v>1</v>
      </c>
      <c r="C17" s="373">
        <f>C12</f>
        <v>0</v>
      </c>
      <c r="D17" s="373">
        <f t="shared" ref="D17:D37" si="0">C$13/E$12*C17</f>
        <v>0</v>
      </c>
      <c r="E17" s="373" t="e">
        <f t="shared" ref="E17:E37" si="1">H$14-D17</f>
        <v>#NUM!</v>
      </c>
      <c r="F17" s="373" t="e">
        <f>C17-E17</f>
        <v>#NUM!</v>
      </c>
      <c r="G17" s="373">
        <f>D17</f>
        <v>0</v>
      </c>
      <c r="H17" s="373" t="e">
        <f>D17+E17</f>
        <v>#NUM!</v>
      </c>
      <c r="J17" s="617"/>
      <c r="K17" s="617"/>
    </row>
    <row r="18" spans="2:17" x14ac:dyDescent="0.25">
      <c r="B18" s="372">
        <f t="shared" ref="B18:B37" si="2">B17+1</f>
        <v>2</v>
      </c>
      <c r="C18" s="373" t="e">
        <f t="shared" ref="C18:C37" si="3">F17</f>
        <v>#NUM!</v>
      </c>
      <c r="D18" s="373" t="e">
        <f t="shared" si="0"/>
        <v>#NUM!</v>
      </c>
      <c r="E18" s="373" t="e">
        <f t="shared" si="1"/>
        <v>#NUM!</v>
      </c>
      <c r="F18" s="373" t="e">
        <f>C18-E18</f>
        <v>#NUM!</v>
      </c>
      <c r="G18" s="373" t="e">
        <f t="shared" ref="G18:G37" si="4">G17+D18</f>
        <v>#NUM!</v>
      </c>
      <c r="H18" s="373" t="e">
        <f>D18+E18+H17</f>
        <v>#NUM!</v>
      </c>
      <c r="J18" s="617"/>
      <c r="K18" s="617"/>
    </row>
    <row r="19" spans="2:17" x14ac:dyDescent="0.25">
      <c r="B19" s="372">
        <f>B18+1</f>
        <v>3</v>
      </c>
      <c r="C19" s="373" t="e">
        <f>F18</f>
        <v>#NUM!</v>
      </c>
      <c r="D19" s="373" t="e">
        <f t="shared" si="0"/>
        <v>#NUM!</v>
      </c>
      <c r="E19" s="373" t="e">
        <f t="shared" si="1"/>
        <v>#NUM!</v>
      </c>
      <c r="F19" s="373" t="e">
        <f t="shared" ref="F19:F37" si="5">C19-E19</f>
        <v>#NUM!</v>
      </c>
      <c r="G19" s="373" t="e">
        <f>G18+D19</f>
        <v>#NUM!</v>
      </c>
      <c r="H19" s="373" t="e">
        <f>D19+E19+H18</f>
        <v>#NUM!</v>
      </c>
      <c r="J19" s="617"/>
      <c r="K19" s="617"/>
    </row>
    <row r="20" spans="2:17" x14ac:dyDescent="0.25">
      <c r="B20" s="372">
        <f t="shared" si="2"/>
        <v>4</v>
      </c>
      <c r="C20" s="373" t="e">
        <f t="shared" si="3"/>
        <v>#NUM!</v>
      </c>
      <c r="D20" s="373" t="e">
        <f t="shared" si="0"/>
        <v>#NUM!</v>
      </c>
      <c r="E20" s="373" t="e">
        <f t="shared" si="1"/>
        <v>#NUM!</v>
      </c>
      <c r="F20" s="373" t="e">
        <f t="shared" si="5"/>
        <v>#NUM!</v>
      </c>
      <c r="G20" s="373" t="e">
        <f t="shared" si="4"/>
        <v>#NUM!</v>
      </c>
      <c r="H20" s="373" t="e">
        <f t="shared" ref="H20:H37" si="6">D20+E20+H19</f>
        <v>#NUM!</v>
      </c>
      <c r="J20" s="617"/>
      <c r="K20" s="617"/>
    </row>
    <row r="21" spans="2:17" x14ac:dyDescent="0.25">
      <c r="B21" s="372">
        <f t="shared" si="2"/>
        <v>5</v>
      </c>
      <c r="C21" s="373" t="e">
        <f t="shared" si="3"/>
        <v>#NUM!</v>
      </c>
      <c r="D21" s="373" t="e">
        <f t="shared" si="0"/>
        <v>#NUM!</v>
      </c>
      <c r="E21" s="373" t="e">
        <f t="shared" si="1"/>
        <v>#NUM!</v>
      </c>
      <c r="F21" s="373" t="e">
        <f t="shared" si="5"/>
        <v>#NUM!</v>
      </c>
      <c r="G21" s="373" t="e">
        <f>G20+D21</f>
        <v>#NUM!</v>
      </c>
      <c r="H21" s="373" t="e">
        <f t="shared" si="6"/>
        <v>#NUM!</v>
      </c>
      <c r="J21" s="617"/>
      <c r="K21" s="617"/>
    </row>
    <row r="22" spans="2:17" x14ac:dyDescent="0.25">
      <c r="B22" s="372">
        <f t="shared" si="2"/>
        <v>6</v>
      </c>
      <c r="C22" s="373" t="e">
        <f t="shared" si="3"/>
        <v>#NUM!</v>
      </c>
      <c r="D22" s="373" t="e">
        <f t="shared" si="0"/>
        <v>#NUM!</v>
      </c>
      <c r="E22" s="373" t="e">
        <f t="shared" si="1"/>
        <v>#NUM!</v>
      </c>
      <c r="F22" s="373" t="e">
        <f t="shared" si="5"/>
        <v>#NUM!</v>
      </c>
      <c r="G22" s="373" t="e">
        <f t="shared" si="4"/>
        <v>#NUM!</v>
      </c>
      <c r="H22" s="373" t="e">
        <f t="shared" si="6"/>
        <v>#NUM!</v>
      </c>
      <c r="J22" s="617"/>
      <c r="K22" s="617"/>
    </row>
    <row r="23" spans="2:17" x14ac:dyDescent="0.25">
      <c r="B23" s="372">
        <f t="shared" si="2"/>
        <v>7</v>
      </c>
      <c r="C23" s="373" t="e">
        <f t="shared" si="3"/>
        <v>#NUM!</v>
      </c>
      <c r="D23" s="373" t="e">
        <f t="shared" si="0"/>
        <v>#NUM!</v>
      </c>
      <c r="E23" s="373" t="e">
        <f t="shared" si="1"/>
        <v>#NUM!</v>
      </c>
      <c r="F23" s="373" t="e">
        <f t="shared" si="5"/>
        <v>#NUM!</v>
      </c>
      <c r="G23" s="373" t="e">
        <f t="shared" si="4"/>
        <v>#NUM!</v>
      </c>
      <c r="H23" s="373" t="e">
        <f t="shared" si="6"/>
        <v>#NUM!</v>
      </c>
      <c r="J23" s="617"/>
      <c r="K23" s="617"/>
      <c r="L23" s="618"/>
      <c r="N23" s="618"/>
      <c r="O23" s="618"/>
      <c r="P23" s="618"/>
      <c r="Q23" s="618"/>
    </row>
    <row r="24" spans="2:17" x14ac:dyDescent="0.25">
      <c r="B24" s="372">
        <f t="shared" si="2"/>
        <v>8</v>
      </c>
      <c r="C24" s="373" t="e">
        <f t="shared" si="3"/>
        <v>#NUM!</v>
      </c>
      <c r="D24" s="373" t="e">
        <f t="shared" si="0"/>
        <v>#NUM!</v>
      </c>
      <c r="E24" s="373" t="e">
        <f t="shared" si="1"/>
        <v>#NUM!</v>
      </c>
      <c r="F24" s="373" t="e">
        <f t="shared" si="5"/>
        <v>#NUM!</v>
      </c>
      <c r="G24" s="373" t="e">
        <f t="shared" si="4"/>
        <v>#NUM!</v>
      </c>
      <c r="H24" s="373" t="e">
        <f t="shared" si="6"/>
        <v>#NUM!</v>
      </c>
      <c r="J24" s="617"/>
      <c r="K24" s="617"/>
      <c r="L24" s="618"/>
      <c r="M24" s="618"/>
      <c r="N24" s="618"/>
      <c r="O24" s="618"/>
      <c r="P24" s="618"/>
      <c r="Q24" s="618"/>
    </row>
    <row r="25" spans="2:17" x14ac:dyDescent="0.25">
      <c r="B25" s="372">
        <f t="shared" si="2"/>
        <v>9</v>
      </c>
      <c r="C25" s="373" t="e">
        <f t="shared" si="3"/>
        <v>#NUM!</v>
      </c>
      <c r="D25" s="373" t="e">
        <f t="shared" si="0"/>
        <v>#NUM!</v>
      </c>
      <c r="E25" s="373" t="e">
        <f t="shared" si="1"/>
        <v>#NUM!</v>
      </c>
      <c r="F25" s="373" t="e">
        <f t="shared" si="5"/>
        <v>#NUM!</v>
      </c>
      <c r="G25" s="373" t="e">
        <f t="shared" si="4"/>
        <v>#NUM!</v>
      </c>
      <c r="H25" s="373" t="e">
        <f t="shared" si="6"/>
        <v>#NUM!</v>
      </c>
      <c r="J25" s="617"/>
      <c r="K25" s="617"/>
    </row>
    <row r="26" spans="2:17" x14ac:dyDescent="0.25">
      <c r="B26" s="372">
        <f t="shared" si="2"/>
        <v>10</v>
      </c>
      <c r="C26" s="373" t="e">
        <f t="shared" si="3"/>
        <v>#NUM!</v>
      </c>
      <c r="D26" s="373" t="e">
        <f t="shared" si="0"/>
        <v>#NUM!</v>
      </c>
      <c r="E26" s="373" t="e">
        <f t="shared" si="1"/>
        <v>#NUM!</v>
      </c>
      <c r="F26" s="373" t="e">
        <f t="shared" si="5"/>
        <v>#NUM!</v>
      </c>
      <c r="G26" s="373" t="e">
        <f t="shared" si="4"/>
        <v>#NUM!</v>
      </c>
      <c r="H26" s="373" t="e">
        <f t="shared" si="6"/>
        <v>#NUM!</v>
      </c>
      <c r="J26" s="617"/>
      <c r="K26" s="617"/>
      <c r="L26" s="619"/>
      <c r="M26" s="619"/>
    </row>
    <row r="27" spans="2:17" x14ac:dyDescent="0.25">
      <c r="B27" s="372">
        <f t="shared" si="2"/>
        <v>11</v>
      </c>
      <c r="C27" s="373" t="e">
        <f t="shared" si="3"/>
        <v>#NUM!</v>
      </c>
      <c r="D27" s="373" t="e">
        <f t="shared" si="0"/>
        <v>#NUM!</v>
      </c>
      <c r="E27" s="373" t="e">
        <f t="shared" si="1"/>
        <v>#NUM!</v>
      </c>
      <c r="F27" s="373" t="e">
        <f t="shared" si="5"/>
        <v>#NUM!</v>
      </c>
      <c r="G27" s="373" t="e">
        <f t="shared" si="4"/>
        <v>#NUM!</v>
      </c>
      <c r="H27" s="373" t="e">
        <f t="shared" si="6"/>
        <v>#NUM!</v>
      </c>
      <c r="J27" s="617"/>
      <c r="K27" s="617"/>
    </row>
    <row r="28" spans="2:17" x14ac:dyDescent="0.25">
      <c r="B28" s="372">
        <f t="shared" si="2"/>
        <v>12</v>
      </c>
      <c r="C28" s="373" t="e">
        <f t="shared" si="3"/>
        <v>#NUM!</v>
      </c>
      <c r="D28" s="373" t="e">
        <f t="shared" si="0"/>
        <v>#NUM!</v>
      </c>
      <c r="E28" s="373" t="e">
        <f t="shared" si="1"/>
        <v>#NUM!</v>
      </c>
      <c r="F28" s="373" t="e">
        <f t="shared" si="5"/>
        <v>#NUM!</v>
      </c>
      <c r="G28" s="373" t="e">
        <f t="shared" si="4"/>
        <v>#NUM!</v>
      </c>
      <c r="H28" s="373" t="e">
        <f t="shared" si="6"/>
        <v>#NUM!</v>
      </c>
      <c r="J28" s="617"/>
      <c r="K28" s="617"/>
    </row>
    <row r="29" spans="2:17" x14ac:dyDescent="0.25">
      <c r="B29" s="372">
        <f t="shared" si="2"/>
        <v>13</v>
      </c>
      <c r="C29" s="373" t="e">
        <f t="shared" si="3"/>
        <v>#NUM!</v>
      </c>
      <c r="D29" s="373" t="e">
        <f t="shared" si="0"/>
        <v>#NUM!</v>
      </c>
      <c r="E29" s="373" t="e">
        <f t="shared" si="1"/>
        <v>#NUM!</v>
      </c>
      <c r="F29" s="373" t="e">
        <f t="shared" si="5"/>
        <v>#NUM!</v>
      </c>
      <c r="G29" s="373" t="e">
        <f t="shared" si="4"/>
        <v>#NUM!</v>
      </c>
      <c r="H29" s="373" t="e">
        <f t="shared" si="6"/>
        <v>#NUM!</v>
      </c>
      <c r="J29" s="617"/>
      <c r="K29" s="617"/>
    </row>
    <row r="30" spans="2:17" x14ac:dyDescent="0.25">
      <c r="B30" s="372">
        <f t="shared" si="2"/>
        <v>14</v>
      </c>
      <c r="C30" s="373" t="e">
        <f t="shared" si="3"/>
        <v>#NUM!</v>
      </c>
      <c r="D30" s="373" t="e">
        <f t="shared" si="0"/>
        <v>#NUM!</v>
      </c>
      <c r="E30" s="373" t="e">
        <f t="shared" si="1"/>
        <v>#NUM!</v>
      </c>
      <c r="F30" s="373" t="e">
        <f t="shared" si="5"/>
        <v>#NUM!</v>
      </c>
      <c r="G30" s="373" t="e">
        <f t="shared" si="4"/>
        <v>#NUM!</v>
      </c>
      <c r="H30" s="373" t="e">
        <f t="shared" si="6"/>
        <v>#NUM!</v>
      </c>
      <c r="J30" s="617"/>
      <c r="K30" s="617"/>
    </row>
    <row r="31" spans="2:17" x14ac:dyDescent="0.25">
      <c r="B31" s="372">
        <f t="shared" si="2"/>
        <v>15</v>
      </c>
      <c r="C31" s="373" t="e">
        <f t="shared" si="3"/>
        <v>#NUM!</v>
      </c>
      <c r="D31" s="373" t="e">
        <f t="shared" si="0"/>
        <v>#NUM!</v>
      </c>
      <c r="E31" s="373" t="e">
        <f t="shared" si="1"/>
        <v>#NUM!</v>
      </c>
      <c r="F31" s="373" t="e">
        <f t="shared" si="5"/>
        <v>#NUM!</v>
      </c>
      <c r="G31" s="373" t="e">
        <f t="shared" si="4"/>
        <v>#NUM!</v>
      </c>
      <c r="H31" s="373" t="e">
        <f t="shared" si="6"/>
        <v>#NUM!</v>
      </c>
      <c r="J31" s="617"/>
      <c r="K31" s="617"/>
    </row>
    <row r="32" spans="2:17" x14ac:dyDescent="0.25">
      <c r="B32" s="372">
        <f t="shared" si="2"/>
        <v>16</v>
      </c>
      <c r="C32" s="373" t="e">
        <f t="shared" si="3"/>
        <v>#NUM!</v>
      </c>
      <c r="D32" s="373" t="e">
        <f t="shared" si="0"/>
        <v>#NUM!</v>
      </c>
      <c r="E32" s="373" t="e">
        <f t="shared" si="1"/>
        <v>#NUM!</v>
      </c>
      <c r="F32" s="373" t="e">
        <f t="shared" si="5"/>
        <v>#NUM!</v>
      </c>
      <c r="G32" s="373" t="e">
        <f t="shared" si="4"/>
        <v>#NUM!</v>
      </c>
      <c r="H32" s="373" t="e">
        <f t="shared" si="6"/>
        <v>#NUM!</v>
      </c>
      <c r="J32" s="617"/>
      <c r="K32" s="617"/>
    </row>
    <row r="33" spans="2:24" x14ac:dyDescent="0.25">
      <c r="B33" s="372">
        <f t="shared" si="2"/>
        <v>17</v>
      </c>
      <c r="C33" s="373" t="e">
        <f t="shared" si="3"/>
        <v>#NUM!</v>
      </c>
      <c r="D33" s="373" t="e">
        <f t="shared" si="0"/>
        <v>#NUM!</v>
      </c>
      <c r="E33" s="373" t="e">
        <f t="shared" si="1"/>
        <v>#NUM!</v>
      </c>
      <c r="F33" s="373" t="e">
        <f t="shared" si="5"/>
        <v>#NUM!</v>
      </c>
      <c r="G33" s="373" t="e">
        <f t="shared" si="4"/>
        <v>#NUM!</v>
      </c>
      <c r="H33" s="373" t="e">
        <f t="shared" si="6"/>
        <v>#NUM!</v>
      </c>
      <c r="J33" s="617"/>
      <c r="K33" s="617"/>
    </row>
    <row r="34" spans="2:24" x14ac:dyDescent="0.25">
      <c r="B34" s="372">
        <f t="shared" si="2"/>
        <v>18</v>
      </c>
      <c r="C34" s="373" t="e">
        <f t="shared" si="3"/>
        <v>#NUM!</v>
      </c>
      <c r="D34" s="373" t="e">
        <f t="shared" si="0"/>
        <v>#NUM!</v>
      </c>
      <c r="E34" s="373" t="e">
        <f t="shared" si="1"/>
        <v>#NUM!</v>
      </c>
      <c r="F34" s="373" t="e">
        <f t="shared" si="5"/>
        <v>#NUM!</v>
      </c>
      <c r="G34" s="373" t="e">
        <f t="shared" si="4"/>
        <v>#NUM!</v>
      </c>
      <c r="H34" s="373" t="e">
        <f t="shared" si="6"/>
        <v>#NUM!</v>
      </c>
      <c r="J34" s="617"/>
      <c r="K34" s="617"/>
    </row>
    <row r="35" spans="2:24" x14ac:dyDescent="0.25">
      <c r="B35" s="372">
        <f t="shared" si="2"/>
        <v>19</v>
      </c>
      <c r="C35" s="373" t="e">
        <f t="shared" si="3"/>
        <v>#NUM!</v>
      </c>
      <c r="D35" s="373" t="e">
        <f t="shared" si="0"/>
        <v>#NUM!</v>
      </c>
      <c r="E35" s="373" t="e">
        <f t="shared" si="1"/>
        <v>#NUM!</v>
      </c>
      <c r="F35" s="373" t="e">
        <f t="shared" si="5"/>
        <v>#NUM!</v>
      </c>
      <c r="G35" s="373" t="e">
        <f t="shared" si="4"/>
        <v>#NUM!</v>
      </c>
      <c r="H35" s="373" t="e">
        <f t="shared" si="6"/>
        <v>#NUM!</v>
      </c>
      <c r="J35" s="617"/>
      <c r="K35" s="617"/>
    </row>
    <row r="36" spans="2:24" x14ac:dyDescent="0.25">
      <c r="B36" s="372">
        <f t="shared" si="2"/>
        <v>20</v>
      </c>
      <c r="C36" s="373" t="e">
        <f t="shared" si="3"/>
        <v>#NUM!</v>
      </c>
      <c r="D36" s="373" t="e">
        <f t="shared" si="0"/>
        <v>#NUM!</v>
      </c>
      <c r="E36" s="373" t="e">
        <f t="shared" si="1"/>
        <v>#NUM!</v>
      </c>
      <c r="F36" s="373" t="e">
        <f t="shared" si="5"/>
        <v>#NUM!</v>
      </c>
      <c r="G36" s="373" t="e">
        <f t="shared" si="4"/>
        <v>#NUM!</v>
      </c>
      <c r="H36" s="373" t="e">
        <f t="shared" si="6"/>
        <v>#NUM!</v>
      </c>
      <c r="J36" s="617"/>
      <c r="K36" s="617"/>
    </row>
    <row r="37" spans="2:24" x14ac:dyDescent="0.25">
      <c r="B37" s="482">
        <f t="shared" si="2"/>
        <v>21</v>
      </c>
      <c r="C37" s="483" t="e">
        <f t="shared" si="3"/>
        <v>#NUM!</v>
      </c>
      <c r="D37" s="483" t="e">
        <f t="shared" si="0"/>
        <v>#NUM!</v>
      </c>
      <c r="E37" s="483" t="e">
        <f t="shared" si="1"/>
        <v>#NUM!</v>
      </c>
      <c r="F37" s="483" t="e">
        <f t="shared" si="5"/>
        <v>#NUM!</v>
      </c>
      <c r="G37" s="483" t="e">
        <f t="shared" si="4"/>
        <v>#NUM!</v>
      </c>
      <c r="H37" s="483" t="e">
        <f t="shared" si="6"/>
        <v>#NUM!</v>
      </c>
      <c r="J37" s="617"/>
      <c r="K37" s="617"/>
    </row>
    <row r="39" spans="2:24" x14ac:dyDescent="0.25">
      <c r="D39" s="620"/>
      <c r="E39" s="620">
        <f>'6 PEF'!K53</f>
        <v>1</v>
      </c>
      <c r="F39" s="620">
        <f>'6 PEF'!L53</f>
        <v>2</v>
      </c>
      <c r="G39" s="620">
        <f>'6 PEF'!M53</f>
        <v>3</v>
      </c>
      <c r="H39" s="620">
        <f>'6 PEF'!N53</f>
        <v>4</v>
      </c>
      <c r="I39" s="620">
        <f>'6 PEF'!O53</f>
        <v>5</v>
      </c>
      <c r="J39" s="620">
        <f>'6 PEF'!P53</f>
        <v>6</v>
      </c>
      <c r="K39" s="620">
        <f>'6 PEF'!Q53</f>
        <v>7</v>
      </c>
      <c r="L39" s="620">
        <f>'6 PEF'!R53</f>
        <v>8</v>
      </c>
      <c r="M39" s="620">
        <f>'6 PEF'!S53</f>
        <v>9</v>
      </c>
      <c r="N39" s="620">
        <f>'6 PEF'!T53</f>
        <v>10</v>
      </c>
      <c r="O39" s="620">
        <f>'6 PEF'!U53</f>
        <v>11</v>
      </c>
      <c r="P39" s="620">
        <f>'6 PEF'!V53</f>
        <v>12</v>
      </c>
      <c r="Q39" s="620">
        <f>'6 PEF'!W53</f>
        <v>13</v>
      </c>
      <c r="R39" s="620">
        <f>'6 PEF'!X53</f>
        <v>14</v>
      </c>
      <c r="S39" s="620">
        <f>'6 PEF'!Y53</f>
        <v>15</v>
      </c>
      <c r="T39" s="620">
        <f>'6 PEF'!Z53</f>
        <v>16</v>
      </c>
      <c r="U39" s="620">
        <f>'6 PEF'!AA53</f>
        <v>17</v>
      </c>
      <c r="V39" s="620">
        <f>'6 PEF'!AB53</f>
        <v>18</v>
      </c>
      <c r="W39" s="620">
        <f>'6 PEF'!AC53</f>
        <v>19</v>
      </c>
      <c r="X39" s="620">
        <f>'6 PEF'!AD53</f>
        <v>20</v>
      </c>
    </row>
    <row r="40" spans="2:24" x14ac:dyDescent="0.25">
      <c r="D40" s="620"/>
      <c r="E40" s="620">
        <f ca="1">'6 PEF'!K54</f>
        <v>2019</v>
      </c>
      <c r="F40" s="620">
        <f ca="1">'6 PEF'!L54</f>
        <v>2020</v>
      </c>
      <c r="G40" s="620">
        <f ca="1">'6 PEF'!M54</f>
        <v>2021</v>
      </c>
      <c r="H40" s="620">
        <f ca="1">'6 PEF'!N54</f>
        <v>2022</v>
      </c>
      <c r="I40" s="620">
        <f ca="1">'6 PEF'!O54</f>
        <v>2023</v>
      </c>
      <c r="J40" s="620">
        <f ca="1">'6 PEF'!P54</f>
        <v>2024</v>
      </c>
      <c r="K40" s="620">
        <f ca="1">'6 PEF'!Q54</f>
        <v>2025</v>
      </c>
      <c r="L40" s="620">
        <f ca="1">'6 PEF'!R54</f>
        <v>2026</v>
      </c>
      <c r="M40" s="620">
        <f ca="1">'6 PEF'!S54</f>
        <v>2027</v>
      </c>
      <c r="N40" s="620">
        <f ca="1">'6 PEF'!T54</f>
        <v>2028</v>
      </c>
      <c r="O40" s="620">
        <f ca="1">'6 PEF'!U54</f>
        <v>2029</v>
      </c>
      <c r="P40" s="620">
        <f ca="1">'6 PEF'!V54</f>
        <v>2030</v>
      </c>
      <c r="Q40" s="620">
        <f ca="1">'6 PEF'!W54</f>
        <v>2031</v>
      </c>
      <c r="R40" s="620">
        <f ca="1">'6 PEF'!X54</f>
        <v>2032</v>
      </c>
      <c r="S40" s="620">
        <f ca="1">'6 PEF'!Y54</f>
        <v>2033</v>
      </c>
      <c r="T40" s="620">
        <f ca="1">'6 PEF'!Z54</f>
        <v>2034</v>
      </c>
      <c r="U40" s="620">
        <f ca="1">'6 PEF'!AA54</f>
        <v>2035</v>
      </c>
      <c r="V40" s="620">
        <f ca="1">'6 PEF'!AB54</f>
        <v>2036</v>
      </c>
      <c r="W40" s="620">
        <f ca="1">'6 PEF'!AC54</f>
        <v>2037</v>
      </c>
      <c r="X40" s="620">
        <f ca="1">'6 PEF'!AD54</f>
        <v>2038</v>
      </c>
    </row>
    <row r="41" spans="2:24" x14ac:dyDescent="0.25">
      <c r="D41" s="621" t="str">
        <f>D16</f>
        <v>interest</v>
      </c>
      <c r="E41" s="622">
        <f>IF(VLOOKUP(E39,$B$17:$H$37,3,FALSE)&gt;0,VLOOKUP(E39,$B$17:$H$37,3,FALSE),0)</f>
        <v>0</v>
      </c>
      <c r="F41" s="622" t="e">
        <f t="shared" ref="F41:X41" si="7">IF(VLOOKUP(F39,$B$17:$H$37,3,FALSE)&gt;0,VLOOKUP(F39,$B$17:$H$37,3,FALSE),0)</f>
        <v>#NUM!</v>
      </c>
      <c r="G41" s="622" t="e">
        <f t="shared" si="7"/>
        <v>#NUM!</v>
      </c>
      <c r="H41" s="622" t="e">
        <f t="shared" si="7"/>
        <v>#NUM!</v>
      </c>
      <c r="I41" s="622" t="e">
        <f t="shared" si="7"/>
        <v>#NUM!</v>
      </c>
      <c r="J41" s="622" t="e">
        <f t="shared" si="7"/>
        <v>#NUM!</v>
      </c>
      <c r="K41" s="622" t="e">
        <f t="shared" si="7"/>
        <v>#NUM!</v>
      </c>
      <c r="L41" s="622" t="e">
        <f t="shared" si="7"/>
        <v>#NUM!</v>
      </c>
      <c r="M41" s="622" t="e">
        <f t="shared" si="7"/>
        <v>#NUM!</v>
      </c>
      <c r="N41" s="622" t="e">
        <f t="shared" si="7"/>
        <v>#NUM!</v>
      </c>
      <c r="O41" s="622" t="e">
        <f t="shared" si="7"/>
        <v>#NUM!</v>
      </c>
      <c r="P41" s="622" t="e">
        <f t="shared" si="7"/>
        <v>#NUM!</v>
      </c>
      <c r="Q41" s="622" t="e">
        <f t="shared" si="7"/>
        <v>#NUM!</v>
      </c>
      <c r="R41" s="622" t="e">
        <f t="shared" si="7"/>
        <v>#NUM!</v>
      </c>
      <c r="S41" s="622" t="e">
        <f t="shared" si="7"/>
        <v>#NUM!</v>
      </c>
      <c r="T41" s="622" t="e">
        <f t="shared" si="7"/>
        <v>#NUM!</v>
      </c>
      <c r="U41" s="622" t="e">
        <f t="shared" si="7"/>
        <v>#NUM!</v>
      </c>
      <c r="V41" s="622" t="e">
        <f t="shared" si="7"/>
        <v>#NUM!</v>
      </c>
      <c r="W41" s="622" t="e">
        <f t="shared" si="7"/>
        <v>#NUM!</v>
      </c>
      <c r="X41" s="622" t="e">
        <f t="shared" si="7"/>
        <v>#NUM!</v>
      </c>
    </row>
    <row r="42" spans="2:24" x14ac:dyDescent="0.25">
      <c r="D42" s="621" t="str">
        <f>E16</f>
        <v>capital</v>
      </c>
      <c r="E42" s="622">
        <f>IF(VLOOKUP(E39,$B$17:$H$37,3,FALSE)&gt;0,VLOOKUP(E39,$B$17:$H$37,4,FALSE),0)</f>
        <v>0</v>
      </c>
      <c r="F42" s="622" t="e">
        <f t="shared" ref="F42:X42" si="8">IF(VLOOKUP(F39,$B$17:$H$37,3,FALSE)&gt;0,VLOOKUP(F39,$B$17:$H$37,4,FALSE),0)</f>
        <v>#NUM!</v>
      </c>
      <c r="G42" s="622" t="e">
        <f t="shared" si="8"/>
        <v>#NUM!</v>
      </c>
      <c r="H42" s="622" t="e">
        <f t="shared" si="8"/>
        <v>#NUM!</v>
      </c>
      <c r="I42" s="622" t="e">
        <f t="shared" si="8"/>
        <v>#NUM!</v>
      </c>
      <c r="J42" s="622" t="e">
        <f t="shared" si="8"/>
        <v>#NUM!</v>
      </c>
      <c r="K42" s="622" t="e">
        <f t="shared" si="8"/>
        <v>#NUM!</v>
      </c>
      <c r="L42" s="622" t="e">
        <f t="shared" si="8"/>
        <v>#NUM!</v>
      </c>
      <c r="M42" s="622" t="e">
        <f t="shared" si="8"/>
        <v>#NUM!</v>
      </c>
      <c r="N42" s="622" t="e">
        <f t="shared" si="8"/>
        <v>#NUM!</v>
      </c>
      <c r="O42" s="622" t="e">
        <f t="shared" si="8"/>
        <v>#NUM!</v>
      </c>
      <c r="P42" s="622" t="e">
        <f t="shared" si="8"/>
        <v>#NUM!</v>
      </c>
      <c r="Q42" s="622" t="e">
        <f t="shared" si="8"/>
        <v>#NUM!</v>
      </c>
      <c r="R42" s="622" t="e">
        <f t="shared" si="8"/>
        <v>#NUM!</v>
      </c>
      <c r="S42" s="622" t="e">
        <f t="shared" si="8"/>
        <v>#NUM!</v>
      </c>
      <c r="T42" s="622" t="e">
        <f t="shared" si="8"/>
        <v>#NUM!</v>
      </c>
      <c r="U42" s="622" t="e">
        <f t="shared" si="8"/>
        <v>#NUM!</v>
      </c>
      <c r="V42" s="622" t="e">
        <f t="shared" si="8"/>
        <v>#NUM!</v>
      </c>
      <c r="W42" s="622" t="e">
        <f t="shared" si="8"/>
        <v>#NUM!</v>
      </c>
      <c r="X42" s="622" t="e">
        <f t="shared" si="8"/>
        <v>#NUM!</v>
      </c>
    </row>
  </sheetData>
  <sheetProtection password="A570" sheet="1" objects="1" scenarios="1" selectLockedCells="1"/>
  <mergeCells count="1">
    <mergeCell ref="B11:E11"/>
  </mergeCells>
  <pageMargins left="0.7" right="0.7" top="0.75" bottom="0.75" header="0.3" footer="0.3"/>
  <pageSetup paperSize="9" orientation="portrait" r:id="rId1"/>
  <ignoredErrors>
    <ignoredError sqref="E13:E14 E2:E6 E7:E9 C12 H14 C1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V101"/>
  <sheetViews>
    <sheetView workbookViewId="0">
      <selection activeCell="L2" sqref="L2"/>
    </sheetView>
  </sheetViews>
  <sheetFormatPr defaultRowHeight="12" x14ac:dyDescent="0.25"/>
  <cols>
    <col min="1" max="1" width="2.42578125" style="345" customWidth="1"/>
    <col min="2" max="2" width="48.85546875" style="341" customWidth="1"/>
    <col min="3" max="4" width="14.42578125" style="341" customWidth="1"/>
    <col min="5" max="5" width="9.140625" style="345"/>
    <col min="6" max="7" width="13.7109375" style="345" customWidth="1"/>
    <col min="8" max="8" width="13.5703125" style="341" customWidth="1"/>
    <col min="9" max="9" width="14.140625" style="345" customWidth="1"/>
    <col min="10" max="10" width="14.140625" style="368" customWidth="1"/>
    <col min="11" max="22" width="9.140625" style="345"/>
    <col min="23" max="16384" width="9.140625" style="341"/>
  </cols>
  <sheetData>
    <row r="2" spans="2:10" s="341" customFormat="1" x14ac:dyDescent="0.25">
      <c r="B2" s="786" t="s">
        <v>536</v>
      </c>
      <c r="C2" s="787"/>
      <c r="D2" s="787"/>
      <c r="E2" s="787"/>
      <c r="F2" s="787"/>
      <c r="G2" s="787"/>
      <c r="H2" s="787"/>
      <c r="I2" s="787"/>
      <c r="J2" s="788"/>
    </row>
    <row r="3" spans="2:10" s="341" customFormat="1" x14ac:dyDescent="0.25">
      <c r="B3" s="342"/>
      <c r="C3" s="342"/>
      <c r="D3" s="342"/>
      <c r="E3" s="343"/>
      <c r="F3" s="343"/>
      <c r="G3" s="343"/>
      <c r="H3" s="344"/>
      <c r="I3" s="345"/>
      <c r="J3" s="346"/>
    </row>
    <row r="4" spans="2:10" s="341" customFormat="1" x14ac:dyDescent="0.25">
      <c r="B4" s="786" t="s">
        <v>537</v>
      </c>
      <c r="C4" s="787"/>
      <c r="D4" s="788"/>
      <c r="E4" s="343"/>
      <c r="F4" s="343"/>
      <c r="G4" s="343"/>
      <c r="H4" s="786" t="s">
        <v>538</v>
      </c>
      <c r="I4" s="787"/>
      <c r="J4" s="788"/>
    </row>
    <row r="5" spans="2:10" s="345" customFormat="1" x14ac:dyDescent="0.25">
      <c r="B5" s="347"/>
      <c r="C5" s="347"/>
      <c r="D5" s="347"/>
      <c r="E5" s="343"/>
      <c r="F5" s="343"/>
      <c r="G5" s="343"/>
      <c r="H5" s="347"/>
      <c r="I5" s="343"/>
      <c r="J5" s="348"/>
    </row>
    <row r="6" spans="2:10" s="341" customFormat="1" ht="15" customHeight="1" x14ac:dyDescent="0.25">
      <c r="B6" s="349"/>
      <c r="C6" s="350" t="s">
        <v>539</v>
      </c>
      <c r="D6" s="382">
        <v>0</v>
      </c>
      <c r="E6" s="343"/>
      <c r="F6" s="784" t="s">
        <v>540</v>
      </c>
      <c r="G6" s="784"/>
      <c r="H6" s="784"/>
      <c r="I6" s="356" t="e">
        <f>'F-Calc Mortgage loan'!E7</f>
        <v>#VALUE!</v>
      </c>
      <c r="J6" s="354"/>
    </row>
    <row r="7" spans="2:10" s="341" customFormat="1" ht="15" customHeight="1" x14ac:dyDescent="0.25">
      <c r="B7" s="349"/>
      <c r="C7" s="350" t="s">
        <v>541</v>
      </c>
      <c r="D7" s="383">
        <v>0</v>
      </c>
      <c r="E7" s="343"/>
      <c r="F7" s="784" t="s">
        <v>542</v>
      </c>
      <c r="G7" s="784"/>
      <c r="H7" s="784"/>
      <c r="I7" s="353">
        <v>0</v>
      </c>
      <c r="J7" s="354"/>
    </row>
    <row r="8" spans="2:10" s="341" customFormat="1" ht="15" customHeight="1" x14ac:dyDescent="0.25">
      <c r="B8" s="349"/>
      <c r="C8" s="350" t="s">
        <v>543</v>
      </c>
      <c r="D8" s="383">
        <v>0</v>
      </c>
      <c r="E8" s="343"/>
      <c r="F8" s="784" t="s">
        <v>544</v>
      </c>
      <c r="G8" s="784"/>
      <c r="H8" s="784"/>
      <c r="I8" s="353">
        <v>0</v>
      </c>
      <c r="J8" s="354"/>
    </row>
    <row r="9" spans="2:10" s="341" customFormat="1" ht="15" customHeight="1" x14ac:dyDescent="0.25">
      <c r="B9" s="349"/>
      <c r="C9" s="350" t="s">
        <v>545</v>
      </c>
      <c r="D9" s="383">
        <v>0</v>
      </c>
      <c r="E9" s="343"/>
      <c r="F9" s="784" t="s">
        <v>546</v>
      </c>
      <c r="G9" s="784"/>
      <c r="H9" s="784"/>
      <c r="I9" s="355"/>
      <c r="J9" s="353" t="e">
        <f>SUM(I6:I8)</f>
        <v>#VALUE!</v>
      </c>
    </row>
    <row r="10" spans="2:10" s="341" customFormat="1" ht="15" customHeight="1" x14ac:dyDescent="0.25">
      <c r="B10" s="349"/>
      <c r="C10" s="350" t="s">
        <v>547</v>
      </c>
      <c r="D10" s="383">
        <v>0</v>
      </c>
      <c r="E10" s="343"/>
      <c r="F10" s="784" t="s">
        <v>548</v>
      </c>
      <c r="G10" s="784"/>
      <c r="H10" s="784"/>
      <c r="I10" s="356">
        <f>-'F-Calc Mortgage loan'!E6</f>
        <v>0</v>
      </c>
      <c r="J10" s="357" t="s">
        <v>549</v>
      </c>
    </row>
    <row r="11" spans="2:10" s="341" customFormat="1" ht="15" customHeight="1" x14ac:dyDescent="0.25">
      <c r="B11" s="343"/>
      <c r="C11" s="343"/>
      <c r="D11" s="384"/>
      <c r="E11" s="343"/>
      <c r="F11" s="784" t="s">
        <v>550</v>
      </c>
      <c r="G11" s="784"/>
      <c r="H11" s="784"/>
      <c r="I11" s="353">
        <v>0</v>
      </c>
      <c r="J11" s="354"/>
    </row>
    <row r="12" spans="2:10" s="341" customFormat="1" ht="15" customHeight="1" x14ac:dyDescent="0.25">
      <c r="B12" s="358" t="s">
        <v>551</v>
      </c>
      <c r="C12" s="343"/>
      <c r="D12" s="384"/>
      <c r="E12" s="343"/>
      <c r="F12" s="784" t="s">
        <v>552</v>
      </c>
      <c r="G12" s="784"/>
      <c r="H12" s="784"/>
      <c r="I12" s="353">
        <v>0</v>
      </c>
      <c r="J12" s="354"/>
    </row>
    <row r="13" spans="2:10" s="341" customFormat="1" ht="15" customHeight="1" x14ac:dyDescent="0.25">
      <c r="B13" s="352" t="s">
        <v>553</v>
      </c>
      <c r="C13" s="353">
        <v>0</v>
      </c>
      <c r="D13" s="384"/>
      <c r="E13" s="343"/>
      <c r="F13" s="784" t="s">
        <v>554</v>
      </c>
      <c r="G13" s="784"/>
      <c r="H13" s="784"/>
      <c r="I13" s="355"/>
      <c r="J13" s="353">
        <f>SUM(I10:I12)</f>
        <v>0</v>
      </c>
    </row>
    <row r="14" spans="2:10" s="341" customFormat="1" ht="15" customHeight="1" x14ac:dyDescent="0.25">
      <c r="B14" s="352" t="s">
        <v>555</v>
      </c>
      <c r="C14" s="353">
        <v>0</v>
      </c>
      <c r="D14" s="384"/>
      <c r="E14" s="343"/>
      <c r="F14" s="784" t="s">
        <v>556</v>
      </c>
      <c r="G14" s="784"/>
      <c r="H14" s="784"/>
      <c r="I14" s="353">
        <v>0</v>
      </c>
      <c r="J14" s="354"/>
    </row>
    <row r="15" spans="2:10" s="341" customFormat="1" ht="15" customHeight="1" x14ac:dyDescent="0.25">
      <c r="B15" s="352" t="s">
        <v>557</v>
      </c>
      <c r="C15" s="353">
        <v>0</v>
      </c>
      <c r="D15" s="384"/>
      <c r="E15" s="343"/>
      <c r="F15" s="784" t="s">
        <v>558</v>
      </c>
      <c r="G15" s="784"/>
      <c r="H15" s="784"/>
      <c r="I15" s="353">
        <v>0</v>
      </c>
      <c r="J15" s="354"/>
    </row>
    <row r="16" spans="2:10" s="341" customFormat="1" ht="15" customHeight="1" x14ac:dyDescent="0.25">
      <c r="B16" s="352" t="s">
        <v>559</v>
      </c>
      <c r="C16" s="353">
        <v>0</v>
      </c>
      <c r="D16" s="384"/>
      <c r="E16" s="343"/>
      <c r="F16" s="784" t="s">
        <v>560</v>
      </c>
      <c r="G16" s="784"/>
      <c r="H16" s="784"/>
      <c r="I16" s="355"/>
      <c r="J16" s="353">
        <f>SUM(I14:I15)</f>
        <v>0</v>
      </c>
    </row>
    <row r="17" spans="2:11" s="341" customFormat="1" ht="15" customHeight="1" x14ac:dyDescent="0.25">
      <c r="B17" s="352" t="s">
        <v>561</v>
      </c>
      <c r="C17" s="353">
        <v>0</v>
      </c>
      <c r="D17" s="384"/>
      <c r="E17" s="343"/>
      <c r="F17" s="784" t="s">
        <v>562</v>
      </c>
      <c r="G17" s="784"/>
      <c r="H17" s="784"/>
      <c r="I17" s="353">
        <v>0</v>
      </c>
      <c r="J17" s="354"/>
      <c r="K17" s="345"/>
    </row>
    <row r="18" spans="2:11" s="341" customFormat="1" ht="15" customHeight="1" x14ac:dyDescent="0.25">
      <c r="B18" s="352" t="s">
        <v>563</v>
      </c>
      <c r="C18" s="353">
        <v>0</v>
      </c>
      <c r="D18" s="384"/>
      <c r="E18" s="343"/>
      <c r="F18" s="784" t="s">
        <v>564</v>
      </c>
      <c r="G18" s="784"/>
      <c r="H18" s="784"/>
      <c r="I18" s="353">
        <v>0</v>
      </c>
      <c r="J18" s="354"/>
      <c r="K18" s="345"/>
    </row>
    <row r="19" spans="2:11" s="341" customFormat="1" ht="15" customHeight="1" x14ac:dyDescent="0.25">
      <c r="B19" s="352" t="s">
        <v>565</v>
      </c>
      <c r="C19" s="353">
        <v>0</v>
      </c>
      <c r="D19" s="384"/>
      <c r="E19" s="343"/>
      <c r="F19" s="784" t="s">
        <v>566</v>
      </c>
      <c r="G19" s="784"/>
      <c r="H19" s="784"/>
      <c r="I19" s="237"/>
      <c r="J19" s="353">
        <f>SUM(I17:I18)</f>
        <v>0</v>
      </c>
      <c r="K19" s="345"/>
    </row>
    <row r="20" spans="2:11" s="341" customFormat="1" x14ac:dyDescent="0.25">
      <c r="B20" s="343"/>
      <c r="C20" s="237"/>
      <c r="D20" s="384"/>
      <c r="E20" s="343"/>
      <c r="F20" s="343"/>
      <c r="G20" s="343"/>
      <c r="H20" s="345"/>
      <c r="I20" s="343"/>
      <c r="J20" s="354"/>
      <c r="K20" s="345"/>
    </row>
    <row r="21" spans="2:11" s="341" customFormat="1" x14ac:dyDescent="0.25">
      <c r="B21" s="358" t="s">
        <v>567</v>
      </c>
      <c r="C21" s="237"/>
      <c r="D21" s="384"/>
      <c r="E21" s="343"/>
      <c r="F21" s="343"/>
      <c r="G21" s="343"/>
      <c r="H21" s="785" t="s">
        <v>538</v>
      </c>
      <c r="I21" s="785"/>
      <c r="J21" s="359" t="e">
        <f>J9+J13+J16+J19</f>
        <v>#VALUE!</v>
      </c>
      <c r="K21" s="345"/>
    </row>
    <row r="22" spans="2:11" s="341" customFormat="1" x14ac:dyDescent="0.25">
      <c r="B22" s="352" t="s">
        <v>568</v>
      </c>
      <c r="C22" s="353">
        <v>0</v>
      </c>
      <c r="D22" s="384"/>
      <c r="E22" s="343"/>
      <c r="F22" s="343"/>
      <c r="G22" s="343"/>
      <c r="H22" s="345"/>
      <c r="I22" s="345"/>
      <c r="J22" s="348"/>
      <c r="K22" s="345"/>
    </row>
    <row r="23" spans="2:11" s="341" customFormat="1" x14ac:dyDescent="0.25">
      <c r="B23" s="352" t="s">
        <v>569</v>
      </c>
      <c r="C23" s="353">
        <v>0</v>
      </c>
      <c r="D23" s="384"/>
      <c r="E23" s="343"/>
      <c r="F23" s="343"/>
      <c r="G23" s="343"/>
      <c r="H23" s="786" t="s">
        <v>570</v>
      </c>
      <c r="I23" s="787"/>
      <c r="J23" s="788"/>
      <c r="K23" s="345"/>
    </row>
    <row r="24" spans="2:11" s="341" customFormat="1" x14ac:dyDescent="0.25">
      <c r="B24" s="352" t="s">
        <v>571</v>
      </c>
      <c r="C24" s="353">
        <v>0</v>
      </c>
      <c r="D24" s="384"/>
      <c r="E24" s="343"/>
      <c r="F24" s="343"/>
      <c r="G24" s="343"/>
      <c r="H24" s="345"/>
      <c r="I24" s="345"/>
      <c r="J24" s="348"/>
      <c r="K24" s="345"/>
    </row>
    <row r="25" spans="2:11" s="341" customFormat="1" ht="15" customHeight="1" x14ac:dyDescent="0.25">
      <c r="B25" s="352" t="s">
        <v>572</v>
      </c>
      <c r="C25" s="353">
        <v>0</v>
      </c>
      <c r="D25" s="384"/>
      <c r="E25" s="343"/>
      <c r="F25" s="784" t="s">
        <v>573</v>
      </c>
      <c r="G25" s="784"/>
      <c r="H25" s="784"/>
      <c r="I25" s="360"/>
      <c r="J25" s="353">
        <v>0</v>
      </c>
      <c r="K25" s="345"/>
    </row>
    <row r="26" spans="2:11" s="341" customFormat="1" ht="15" customHeight="1" x14ac:dyDescent="0.25">
      <c r="B26" s="352" t="s">
        <v>574</v>
      </c>
      <c r="C26" s="353">
        <v>0</v>
      </c>
      <c r="D26" s="384"/>
      <c r="E26" s="343"/>
      <c r="F26" s="789" t="s">
        <v>575</v>
      </c>
      <c r="G26" s="789"/>
      <c r="H26" s="789"/>
      <c r="I26" s="356">
        <f>'F-Calc Mortgage loan'!E8</f>
        <v>0</v>
      </c>
      <c r="J26" s="357" t="s">
        <v>549</v>
      </c>
      <c r="K26" s="345"/>
    </row>
    <row r="27" spans="2:11" s="341" customFormat="1" ht="15" customHeight="1" x14ac:dyDescent="0.25">
      <c r="B27" s="352" t="s">
        <v>576</v>
      </c>
      <c r="C27" s="353">
        <v>0</v>
      </c>
      <c r="D27" s="384"/>
      <c r="E27" s="343"/>
      <c r="F27" s="784" t="s">
        <v>577</v>
      </c>
      <c r="G27" s="784"/>
      <c r="H27" s="784"/>
      <c r="I27" s="353">
        <v>0</v>
      </c>
      <c r="J27" s="354"/>
      <c r="K27" s="345"/>
    </row>
    <row r="28" spans="2:11" s="341" customFormat="1" ht="15" customHeight="1" x14ac:dyDescent="0.25">
      <c r="B28" s="352" t="s">
        <v>578</v>
      </c>
      <c r="C28" s="353">
        <v>0</v>
      </c>
      <c r="D28" s="384"/>
      <c r="E28" s="343"/>
      <c r="F28" s="784" t="s">
        <v>579</v>
      </c>
      <c r="G28" s="784"/>
      <c r="H28" s="784"/>
      <c r="I28" s="360"/>
      <c r="J28" s="353">
        <f>SUM(I26:I27)</f>
        <v>0</v>
      </c>
      <c r="K28" s="345"/>
    </row>
    <row r="29" spans="2:11" s="341" customFormat="1" ht="15" customHeight="1" x14ac:dyDescent="0.25">
      <c r="B29" s="352" t="s">
        <v>580</v>
      </c>
      <c r="C29" s="353">
        <v>0</v>
      </c>
      <c r="D29" s="384"/>
      <c r="E29" s="343"/>
      <c r="F29" s="784" t="s">
        <v>581</v>
      </c>
      <c r="G29" s="784"/>
      <c r="H29" s="784"/>
      <c r="I29" s="360"/>
      <c r="J29" s="356" t="e">
        <f>'F-Calc Mortgage loan'!E9</f>
        <v>#VALUE!</v>
      </c>
      <c r="K29" s="357" t="s">
        <v>77</v>
      </c>
    </row>
    <row r="30" spans="2:11" s="341" customFormat="1" ht="15" customHeight="1" x14ac:dyDescent="0.25">
      <c r="B30" s="343"/>
      <c r="C30" s="343"/>
      <c r="D30" s="384"/>
      <c r="E30" s="343"/>
      <c r="F30" s="784" t="s">
        <v>582</v>
      </c>
      <c r="G30" s="784"/>
      <c r="H30" s="784"/>
      <c r="I30" s="353">
        <v>0</v>
      </c>
      <c r="J30" s="354"/>
      <c r="K30" s="345"/>
    </row>
    <row r="31" spans="2:11" s="341" customFormat="1" x14ac:dyDescent="0.25">
      <c r="C31" s="361" t="s">
        <v>583</v>
      </c>
      <c r="D31" s="383">
        <f>SUM(C13:C19)+SUM(C22:C29)</f>
        <v>0</v>
      </c>
      <c r="E31" s="343"/>
      <c r="F31" s="343"/>
      <c r="G31" s="343"/>
      <c r="H31" s="583" t="s">
        <v>584</v>
      </c>
      <c r="I31" s="353">
        <v>0</v>
      </c>
      <c r="J31" s="354"/>
      <c r="K31" s="345"/>
    </row>
    <row r="32" spans="2:11" s="341" customFormat="1" ht="15" customHeight="1" x14ac:dyDescent="0.25">
      <c r="B32" s="343"/>
      <c r="C32" s="343"/>
      <c r="D32" s="278"/>
      <c r="E32" s="343"/>
      <c r="F32" s="781" t="s">
        <v>585</v>
      </c>
      <c r="G32" s="782"/>
      <c r="H32" s="783"/>
      <c r="I32" s="353">
        <v>0</v>
      </c>
      <c r="J32" s="354"/>
      <c r="K32" s="345"/>
    </row>
    <row r="33" spans="2:10" s="341" customFormat="1" x14ac:dyDescent="0.25">
      <c r="B33" s="785" t="s">
        <v>586</v>
      </c>
      <c r="C33" s="785"/>
      <c r="D33" s="439">
        <f>SUM(D6:D10)+D31</f>
        <v>0</v>
      </c>
      <c r="E33" s="362"/>
      <c r="F33" s="362"/>
      <c r="G33" s="362"/>
      <c r="H33" s="583" t="s">
        <v>587</v>
      </c>
      <c r="I33" s="353">
        <v>0</v>
      </c>
      <c r="J33" s="354"/>
    </row>
    <row r="34" spans="2:10" s="341" customFormat="1" x14ac:dyDescent="0.25">
      <c r="B34" s="345"/>
      <c r="C34" s="345"/>
      <c r="D34" s="345"/>
      <c r="E34" s="345"/>
      <c r="F34" s="352"/>
      <c r="G34" s="352"/>
      <c r="H34" s="352" t="s">
        <v>588</v>
      </c>
      <c r="I34" s="353">
        <v>0</v>
      </c>
      <c r="J34" s="354"/>
    </row>
    <row r="35" spans="2:10" s="341" customFormat="1" ht="15" customHeight="1" x14ac:dyDescent="0.25">
      <c r="B35" s="345"/>
      <c r="C35" s="345"/>
      <c r="D35" s="345"/>
      <c r="E35" s="345"/>
      <c r="F35" s="784" t="s">
        <v>589</v>
      </c>
      <c r="G35" s="784"/>
      <c r="H35" s="784"/>
      <c r="I35" s="360"/>
      <c r="J35" s="353">
        <f>SUM(I30:I34)</f>
        <v>0</v>
      </c>
    </row>
    <row r="36" spans="2:10" s="341" customFormat="1" ht="15" customHeight="1" x14ac:dyDescent="0.25">
      <c r="B36" s="345"/>
      <c r="C36" s="345"/>
      <c r="D36" s="345"/>
      <c r="E36" s="345"/>
      <c r="F36" s="784" t="s">
        <v>590</v>
      </c>
      <c r="G36" s="784"/>
      <c r="H36" s="784"/>
      <c r="I36" s="360"/>
      <c r="J36" s="353">
        <v>0</v>
      </c>
    </row>
    <row r="37" spans="2:10" s="341" customFormat="1" ht="15" customHeight="1" x14ac:dyDescent="0.25">
      <c r="B37" s="345"/>
      <c r="C37" s="345"/>
      <c r="D37" s="345"/>
      <c r="E37" s="345"/>
      <c r="F37" s="784" t="s">
        <v>591</v>
      </c>
      <c r="G37" s="784"/>
      <c r="H37" s="784"/>
      <c r="I37" s="360"/>
      <c r="J37" s="353">
        <v>0</v>
      </c>
    </row>
    <row r="38" spans="2:10" s="341" customFormat="1" x14ac:dyDescent="0.25">
      <c r="B38" s="345"/>
      <c r="C38" s="345"/>
      <c r="D38" s="345"/>
      <c r="E38" s="345"/>
      <c r="F38" s="345"/>
      <c r="G38" s="345"/>
      <c r="H38" s="345"/>
      <c r="I38" s="360"/>
      <c r="J38" s="363"/>
    </row>
    <row r="39" spans="2:10" s="341" customFormat="1" x14ac:dyDescent="0.25">
      <c r="B39" s="345"/>
      <c r="C39" s="345"/>
      <c r="D39" s="345"/>
      <c r="E39" s="343"/>
      <c r="F39" s="343"/>
      <c r="G39" s="343"/>
      <c r="H39" s="785" t="s">
        <v>570</v>
      </c>
      <c r="I39" s="790"/>
      <c r="J39" s="364" t="e">
        <f>J37+J36+J35+J29+J28+J25</f>
        <v>#VALUE!</v>
      </c>
    </row>
    <row r="40" spans="2:10" s="345" customFormat="1" x14ac:dyDescent="0.25">
      <c r="J40" s="354"/>
    </row>
    <row r="41" spans="2:10" s="341" customFormat="1" x14ac:dyDescent="0.25">
      <c r="B41" s="786" t="s">
        <v>592</v>
      </c>
      <c r="C41" s="787"/>
      <c r="D41" s="787"/>
      <c r="E41" s="787"/>
      <c r="F41" s="787"/>
      <c r="G41" s="787"/>
      <c r="H41" s="787"/>
      <c r="I41" s="787"/>
      <c r="J41" s="788"/>
    </row>
    <row r="42" spans="2:10" s="341" customFormat="1" x14ac:dyDescent="0.25">
      <c r="B42" s="342"/>
      <c r="C42" s="342"/>
      <c r="D42" s="342"/>
      <c r="E42" s="343"/>
      <c r="F42" s="343"/>
      <c r="G42" s="343"/>
      <c r="H42" s="344"/>
      <c r="I42" s="345"/>
      <c r="J42" s="346"/>
    </row>
    <row r="43" spans="2:10" s="341" customFormat="1" x14ac:dyDescent="0.25">
      <c r="B43" s="786" t="s">
        <v>537</v>
      </c>
      <c r="C43" s="787"/>
      <c r="D43" s="788"/>
      <c r="E43" s="343"/>
      <c r="F43" s="343"/>
      <c r="G43" s="343"/>
      <c r="H43" s="786" t="s">
        <v>538</v>
      </c>
      <c r="I43" s="787"/>
      <c r="J43" s="788"/>
    </row>
    <row r="44" spans="2:10" s="341" customFormat="1" x14ac:dyDescent="0.25">
      <c r="B44" s="347"/>
      <c r="C44" s="347"/>
      <c r="D44" s="347"/>
      <c r="E44" s="343"/>
      <c r="F44" s="343"/>
      <c r="G44" s="343"/>
      <c r="H44" s="347"/>
      <c r="I44" s="343"/>
      <c r="J44" s="348"/>
    </row>
    <row r="45" spans="2:10" s="341" customFormat="1" ht="15" customHeight="1" x14ac:dyDescent="0.25">
      <c r="B45" s="365"/>
      <c r="C45" s="350" t="s">
        <v>539</v>
      </c>
      <c r="D45" s="351">
        <v>0</v>
      </c>
      <c r="E45" s="343"/>
      <c r="F45" s="784" t="s">
        <v>2076</v>
      </c>
      <c r="G45" s="784"/>
      <c r="H45" s="784"/>
      <c r="I45" s="356">
        <v>2223</v>
      </c>
      <c r="J45" s="354"/>
    </row>
    <row r="46" spans="2:10" s="341" customFormat="1" ht="15" customHeight="1" x14ac:dyDescent="0.25">
      <c r="B46" s="365"/>
      <c r="C46" s="350" t="s">
        <v>541</v>
      </c>
      <c r="D46" s="353">
        <v>0</v>
      </c>
      <c r="E46" s="343"/>
      <c r="F46" s="784" t="s">
        <v>542</v>
      </c>
      <c r="G46" s="784"/>
      <c r="H46" s="784"/>
      <c r="I46" s="353">
        <v>0</v>
      </c>
      <c r="J46" s="354"/>
    </row>
    <row r="47" spans="2:10" s="341" customFormat="1" ht="15" customHeight="1" x14ac:dyDescent="0.25">
      <c r="B47" s="365"/>
      <c r="C47" s="350" t="s">
        <v>543</v>
      </c>
      <c r="D47" s="353">
        <v>0</v>
      </c>
      <c r="E47" s="343"/>
      <c r="F47" s="784" t="s">
        <v>544</v>
      </c>
      <c r="G47" s="784"/>
      <c r="H47" s="784"/>
      <c r="I47" s="353">
        <v>0</v>
      </c>
      <c r="J47" s="354"/>
    </row>
    <row r="48" spans="2:10" s="341" customFormat="1" ht="15" customHeight="1" x14ac:dyDescent="0.25">
      <c r="B48" s="365"/>
      <c r="C48" s="350" t="s">
        <v>545</v>
      </c>
      <c r="D48" s="353">
        <v>0</v>
      </c>
      <c r="E48" s="343"/>
      <c r="F48" s="784" t="s">
        <v>546</v>
      </c>
      <c r="G48" s="784"/>
      <c r="H48" s="784"/>
      <c r="I48" s="355"/>
      <c r="J48" s="353">
        <f>SUM(I45:I47)</f>
        <v>2223</v>
      </c>
    </row>
    <row r="49" spans="2:10" s="341" customFormat="1" ht="15" customHeight="1" x14ac:dyDescent="0.25">
      <c r="B49" s="365"/>
      <c r="C49" s="350" t="s">
        <v>547</v>
      </c>
      <c r="D49" s="356">
        <f>SUM('F-Calc Mortgage loan'!E2:E4)/'5'!J44</f>
        <v>0</v>
      </c>
      <c r="E49" s="343"/>
      <c r="F49" s="784" t="s">
        <v>548</v>
      </c>
      <c r="G49" s="784"/>
      <c r="H49" s="784"/>
      <c r="I49" s="353">
        <v>0</v>
      </c>
      <c r="J49" s="354"/>
    </row>
    <row r="50" spans="2:10" s="341" customFormat="1" ht="15" customHeight="1" x14ac:dyDescent="0.25">
      <c r="B50" s="343"/>
      <c r="C50" s="343"/>
      <c r="D50" s="237"/>
      <c r="E50" s="343"/>
      <c r="F50" s="784" t="s">
        <v>550</v>
      </c>
      <c r="G50" s="784"/>
      <c r="H50" s="784"/>
      <c r="I50" s="353">
        <v>0</v>
      </c>
      <c r="J50" s="354"/>
    </row>
    <row r="51" spans="2:10" s="341" customFormat="1" ht="15" customHeight="1" x14ac:dyDescent="0.25">
      <c r="B51" s="358" t="s">
        <v>551</v>
      </c>
      <c r="C51" s="343"/>
      <c r="D51" s="237"/>
      <c r="E51" s="343"/>
      <c r="F51" s="784" t="s">
        <v>552</v>
      </c>
      <c r="G51" s="784"/>
      <c r="H51" s="784"/>
      <c r="I51" s="353">
        <v>0</v>
      </c>
      <c r="J51" s="354"/>
    </row>
    <row r="52" spans="2:10" s="341" customFormat="1" ht="15" customHeight="1" x14ac:dyDescent="0.25">
      <c r="B52" s="352" t="s">
        <v>553</v>
      </c>
      <c r="C52" s="353">
        <v>0</v>
      </c>
      <c r="D52" s="237"/>
      <c r="E52" s="343"/>
      <c r="F52" s="784" t="s">
        <v>554</v>
      </c>
      <c r="G52" s="784"/>
      <c r="H52" s="784"/>
      <c r="I52" s="355"/>
      <c r="J52" s="353">
        <f>SUM(I49:I51)</f>
        <v>0</v>
      </c>
    </row>
    <row r="53" spans="2:10" s="341" customFormat="1" ht="15" customHeight="1" x14ac:dyDescent="0.25">
      <c r="B53" s="352" t="s">
        <v>555</v>
      </c>
      <c r="C53" s="353">
        <v>0</v>
      </c>
      <c r="D53" s="237"/>
      <c r="E53" s="343"/>
      <c r="F53" s="784" t="s">
        <v>556</v>
      </c>
      <c r="G53" s="784"/>
      <c r="H53" s="784"/>
      <c r="I53" s="353">
        <v>0</v>
      </c>
      <c r="J53" s="354"/>
    </row>
    <row r="54" spans="2:10" s="341" customFormat="1" ht="15" customHeight="1" x14ac:dyDescent="0.25">
      <c r="B54" s="352" t="s">
        <v>557</v>
      </c>
      <c r="C54" s="353">
        <v>0</v>
      </c>
      <c r="D54" s="237"/>
      <c r="E54" s="343"/>
      <c r="F54" s="784" t="s">
        <v>558</v>
      </c>
      <c r="G54" s="784"/>
      <c r="H54" s="784"/>
      <c r="I54" s="353">
        <v>0</v>
      </c>
      <c r="J54" s="354"/>
    </row>
    <row r="55" spans="2:10" s="341" customFormat="1" ht="15" customHeight="1" x14ac:dyDescent="0.25">
      <c r="B55" s="352" t="s">
        <v>559</v>
      </c>
      <c r="C55" s="356">
        <f>'F-Calc Mortgage loan'!E5/'5'!J44</f>
        <v>0</v>
      </c>
      <c r="D55" s="237"/>
      <c r="E55" s="343"/>
      <c r="F55" s="784" t="s">
        <v>560</v>
      </c>
      <c r="G55" s="784"/>
      <c r="H55" s="784"/>
      <c r="I55" s="355"/>
      <c r="J55" s="353">
        <f>SUM(I53:I54)</f>
        <v>0</v>
      </c>
    </row>
    <row r="56" spans="2:10" s="341" customFormat="1" ht="15" customHeight="1" x14ac:dyDescent="0.25">
      <c r="B56" s="352" t="s">
        <v>561</v>
      </c>
      <c r="C56" s="353">
        <v>0</v>
      </c>
      <c r="D56" s="237"/>
      <c r="E56" s="343"/>
      <c r="F56" s="784" t="s">
        <v>562</v>
      </c>
      <c r="G56" s="784"/>
      <c r="H56" s="784"/>
      <c r="I56" s="353">
        <v>0</v>
      </c>
      <c r="J56" s="354"/>
    </row>
    <row r="57" spans="2:10" s="341" customFormat="1" ht="15" customHeight="1" x14ac:dyDescent="0.25">
      <c r="B57" s="352" t="s">
        <v>563</v>
      </c>
      <c r="C57" s="353">
        <v>0</v>
      </c>
      <c r="D57" s="237"/>
      <c r="E57" s="343"/>
      <c r="F57" s="784" t="s">
        <v>564</v>
      </c>
      <c r="G57" s="784"/>
      <c r="H57" s="784"/>
      <c r="I57" s="353">
        <v>0</v>
      </c>
      <c r="J57" s="354"/>
    </row>
    <row r="58" spans="2:10" s="341" customFormat="1" ht="15" customHeight="1" x14ac:dyDescent="0.25">
      <c r="B58" s="352" t="s">
        <v>565</v>
      </c>
      <c r="C58" s="353">
        <v>0</v>
      </c>
      <c r="D58" s="237"/>
      <c r="E58" s="343"/>
      <c r="F58" s="784" t="s">
        <v>566</v>
      </c>
      <c r="G58" s="784"/>
      <c r="H58" s="784"/>
      <c r="I58" s="237"/>
      <c r="J58" s="353">
        <f>SUM(I56:I57)</f>
        <v>0</v>
      </c>
    </row>
    <row r="59" spans="2:10" s="341" customFormat="1" x14ac:dyDescent="0.25">
      <c r="B59" s="343"/>
      <c r="C59" s="237"/>
      <c r="D59" s="237"/>
      <c r="E59" s="343"/>
      <c r="F59" s="343"/>
      <c r="G59" s="343"/>
      <c r="H59" s="345"/>
      <c r="I59" s="237"/>
      <c r="J59" s="354"/>
    </row>
    <row r="60" spans="2:10" s="341" customFormat="1" x14ac:dyDescent="0.25">
      <c r="B60" s="358" t="s">
        <v>567</v>
      </c>
      <c r="C60" s="237"/>
      <c r="D60" s="237"/>
      <c r="E60" s="343"/>
      <c r="F60" s="343"/>
      <c r="G60" s="343"/>
      <c r="H60" s="785" t="s">
        <v>538</v>
      </c>
      <c r="I60" s="785"/>
      <c r="J60" s="359">
        <f>J48+J52+J55+J58</f>
        <v>2223</v>
      </c>
    </row>
    <row r="61" spans="2:10" s="341" customFormat="1" x14ac:dyDescent="0.25">
      <c r="B61" s="352" t="s">
        <v>568</v>
      </c>
      <c r="C61" s="353">
        <v>0</v>
      </c>
      <c r="D61" s="237"/>
      <c r="E61" s="343"/>
      <c r="F61" s="343"/>
      <c r="G61" s="343"/>
      <c r="H61" s="345"/>
      <c r="I61" s="345"/>
      <c r="J61" s="348"/>
    </row>
    <row r="62" spans="2:10" s="341" customFormat="1" x14ac:dyDescent="0.25">
      <c r="B62" s="352" t="s">
        <v>569</v>
      </c>
      <c r="C62" s="353">
        <v>0</v>
      </c>
      <c r="D62" s="237"/>
      <c r="E62" s="343"/>
      <c r="F62" s="343"/>
      <c r="G62" s="343"/>
      <c r="H62" s="786" t="s">
        <v>570</v>
      </c>
      <c r="I62" s="787"/>
      <c r="J62" s="788"/>
    </row>
    <row r="63" spans="2:10" s="341" customFormat="1" x14ac:dyDescent="0.25">
      <c r="B63" s="352" t="s">
        <v>571</v>
      </c>
      <c r="C63" s="353">
        <v>0</v>
      </c>
      <c r="D63" s="237"/>
      <c r="E63" s="343"/>
      <c r="F63" s="343"/>
      <c r="G63" s="343"/>
      <c r="H63" s="345"/>
      <c r="I63" s="345"/>
      <c r="J63" s="348"/>
    </row>
    <row r="64" spans="2:10" s="341" customFormat="1" ht="15" customHeight="1" x14ac:dyDescent="0.25">
      <c r="B64" s="352" t="s">
        <v>572</v>
      </c>
      <c r="C64" s="353">
        <v>0</v>
      </c>
      <c r="D64" s="237"/>
      <c r="E64" s="343"/>
      <c r="F64" s="784" t="s">
        <v>573</v>
      </c>
      <c r="G64" s="784"/>
      <c r="H64" s="784"/>
      <c r="I64" s="360"/>
      <c r="J64" s="353">
        <v>0</v>
      </c>
    </row>
    <row r="65" spans="2:12" s="341" customFormat="1" ht="15" customHeight="1" x14ac:dyDescent="0.25">
      <c r="B65" s="352" t="s">
        <v>574</v>
      </c>
      <c r="C65" s="353">
        <v>0</v>
      </c>
      <c r="D65" s="237"/>
      <c r="E65" s="343"/>
      <c r="F65" s="784" t="s">
        <v>575</v>
      </c>
      <c r="G65" s="784"/>
      <c r="H65" s="784"/>
      <c r="I65" s="353">
        <v>0</v>
      </c>
      <c r="J65" s="354"/>
    </row>
    <row r="66" spans="2:12" s="341" customFormat="1" ht="15" customHeight="1" x14ac:dyDescent="0.25">
      <c r="B66" s="352" t="s">
        <v>576</v>
      </c>
      <c r="C66" s="353">
        <v>0</v>
      </c>
      <c r="D66" s="237"/>
      <c r="E66" s="343"/>
      <c r="F66" s="784" t="s">
        <v>577</v>
      </c>
      <c r="G66" s="784"/>
      <c r="H66" s="784"/>
      <c r="I66" s="353">
        <v>0</v>
      </c>
      <c r="J66" s="354"/>
    </row>
    <row r="67" spans="2:12" s="341" customFormat="1" x14ac:dyDescent="0.25">
      <c r="B67" s="352" t="s">
        <v>578</v>
      </c>
      <c r="C67" s="353">
        <v>0</v>
      </c>
      <c r="D67" s="237"/>
      <c r="E67" s="343"/>
      <c r="F67" s="233"/>
      <c r="G67" s="233"/>
      <c r="H67" s="583" t="s">
        <v>579</v>
      </c>
      <c r="I67" s="360"/>
      <c r="J67" s="353">
        <f>SUM(I65:I66)</f>
        <v>0</v>
      </c>
    </row>
    <row r="68" spans="2:12" s="341" customFormat="1" ht="15" customHeight="1" x14ac:dyDescent="0.25">
      <c r="B68" s="352" t="s">
        <v>580</v>
      </c>
      <c r="C68" s="353">
        <v>0</v>
      </c>
      <c r="D68" s="237"/>
      <c r="E68" s="343"/>
      <c r="F68" s="784" t="s">
        <v>581</v>
      </c>
      <c r="G68" s="784"/>
      <c r="H68" s="784"/>
      <c r="I68" s="360"/>
      <c r="J68" s="353">
        <v>0</v>
      </c>
    </row>
    <row r="69" spans="2:12" s="341" customFormat="1" ht="15" customHeight="1" x14ac:dyDescent="0.25">
      <c r="B69" s="343"/>
      <c r="C69" s="343"/>
      <c r="D69" s="237"/>
      <c r="E69" s="343"/>
      <c r="F69" s="784" t="s">
        <v>582</v>
      </c>
      <c r="G69" s="784"/>
      <c r="H69" s="784"/>
      <c r="I69" s="353">
        <v>0</v>
      </c>
      <c r="J69" s="354"/>
    </row>
    <row r="70" spans="2:12" s="341" customFormat="1" ht="15" customHeight="1" x14ac:dyDescent="0.25">
      <c r="B70" s="345"/>
      <c r="C70" s="361" t="s">
        <v>583</v>
      </c>
      <c r="D70" s="353">
        <f>SUM(C52:C58)+SUM(C61:C68)</f>
        <v>0</v>
      </c>
      <c r="E70" s="343"/>
      <c r="F70" s="784" t="s">
        <v>584</v>
      </c>
      <c r="G70" s="784"/>
      <c r="H70" s="784"/>
      <c r="I70" s="353">
        <v>0</v>
      </c>
      <c r="J70" s="354"/>
    </row>
    <row r="71" spans="2:12" s="341" customFormat="1" ht="15" customHeight="1" x14ac:dyDescent="0.25">
      <c r="B71" s="343"/>
      <c r="C71" s="343"/>
      <c r="D71" s="237"/>
      <c r="E71" s="343"/>
      <c r="F71" s="784" t="s">
        <v>585</v>
      </c>
      <c r="G71" s="784"/>
      <c r="H71" s="784"/>
      <c r="I71" s="353">
        <v>0</v>
      </c>
      <c r="J71" s="354"/>
    </row>
    <row r="72" spans="2:12" s="341" customFormat="1" ht="15" customHeight="1" x14ac:dyDescent="0.25">
      <c r="B72" s="785" t="s">
        <v>586</v>
      </c>
      <c r="C72" s="785"/>
      <c r="D72" s="359">
        <f>SUM(D45:D49)+D70</f>
        <v>0</v>
      </c>
      <c r="E72" s="362"/>
      <c r="F72" s="784" t="s">
        <v>587</v>
      </c>
      <c r="G72" s="784"/>
      <c r="H72" s="784"/>
      <c r="I72" s="353">
        <v>0</v>
      </c>
      <c r="J72" s="354"/>
    </row>
    <row r="73" spans="2:12" s="341" customFormat="1" ht="15" customHeight="1" x14ac:dyDescent="0.25">
      <c r="B73" s="345"/>
      <c r="C73" s="345"/>
      <c r="D73" s="345"/>
      <c r="E73" s="345"/>
      <c r="F73" s="784" t="s">
        <v>588</v>
      </c>
      <c r="G73" s="784"/>
      <c r="H73" s="784"/>
      <c r="I73" s="353">
        <v>0</v>
      </c>
      <c r="J73" s="354"/>
    </row>
    <row r="74" spans="2:12" s="341" customFormat="1" ht="15" customHeight="1" x14ac:dyDescent="0.25">
      <c r="B74" s="345"/>
      <c r="C74" s="345"/>
      <c r="D74" s="345"/>
      <c r="E74" s="343"/>
      <c r="F74" s="783" t="s">
        <v>589</v>
      </c>
      <c r="G74" s="784"/>
      <c r="H74" s="784"/>
      <c r="I74" s="360"/>
      <c r="J74" s="353">
        <f>SUM(I69:I73)</f>
        <v>0</v>
      </c>
    </row>
    <row r="75" spans="2:12" s="341" customFormat="1" ht="15" customHeight="1" x14ac:dyDescent="0.25">
      <c r="B75" s="345"/>
      <c r="C75" s="345"/>
      <c r="D75" s="345"/>
      <c r="E75" s="345"/>
      <c r="F75" s="784" t="s">
        <v>590</v>
      </c>
      <c r="G75" s="784"/>
      <c r="H75" s="784"/>
      <c r="I75" s="360"/>
      <c r="J75" s="353">
        <v>0</v>
      </c>
    </row>
    <row r="76" spans="2:12" s="341" customFormat="1" ht="15" customHeight="1" x14ac:dyDescent="0.25">
      <c r="B76" s="345"/>
      <c r="C76" s="345"/>
      <c r="D76" s="345"/>
      <c r="E76" s="345"/>
      <c r="F76" s="784" t="s">
        <v>591</v>
      </c>
      <c r="G76" s="784"/>
      <c r="H76" s="784"/>
      <c r="I76" s="360"/>
      <c r="J76" s="353">
        <v>0</v>
      </c>
    </row>
    <row r="77" spans="2:12" s="341" customFormat="1" x14ac:dyDescent="0.25">
      <c r="B77" s="345"/>
      <c r="C77" s="345"/>
      <c r="D77" s="345"/>
      <c r="E77" s="345"/>
      <c r="F77" s="345"/>
      <c r="G77" s="345"/>
      <c r="H77" s="345"/>
      <c r="I77" s="345"/>
      <c r="J77" s="366"/>
    </row>
    <row r="78" spans="2:12" s="341" customFormat="1" x14ac:dyDescent="0.25">
      <c r="B78" s="345"/>
      <c r="C78" s="345"/>
      <c r="D78" s="345"/>
      <c r="E78" s="343"/>
      <c r="F78" s="343"/>
      <c r="G78" s="343"/>
      <c r="H78" s="785" t="s">
        <v>570</v>
      </c>
      <c r="I78" s="790"/>
      <c r="J78" s="364">
        <f>J76+J75+J74+J68+J67+J64</f>
        <v>0</v>
      </c>
      <c r="L78" s="582" t="s">
        <v>593</v>
      </c>
    </row>
    <row r="79" spans="2:12" s="341" customFormat="1" x14ac:dyDescent="0.25">
      <c r="B79" s="345"/>
      <c r="C79" s="345"/>
      <c r="D79" s="345"/>
      <c r="E79" s="345"/>
      <c r="F79" s="345"/>
      <c r="G79" s="345"/>
      <c r="H79" s="367"/>
      <c r="I79" s="345"/>
      <c r="J79" s="348"/>
    </row>
    <row r="80" spans="2:12" s="341" customFormat="1" x14ac:dyDescent="0.25">
      <c r="B80" s="345"/>
      <c r="C80" s="345"/>
      <c r="D80" s="345"/>
      <c r="E80" s="345"/>
      <c r="F80" s="345"/>
      <c r="G80" s="345"/>
      <c r="I80" s="345"/>
      <c r="J80" s="348"/>
    </row>
    <row r="81" spans="2:10" s="341" customFormat="1" ht="25.5" x14ac:dyDescent="0.25">
      <c r="B81" s="345"/>
      <c r="C81" s="345"/>
      <c r="D81" s="345"/>
      <c r="E81" s="215"/>
      <c r="F81" s="584" t="s">
        <v>857</v>
      </c>
      <c r="G81" s="584" t="s">
        <v>538</v>
      </c>
      <c r="H81" s="584" t="s">
        <v>570</v>
      </c>
      <c r="I81" s="584" t="s">
        <v>637</v>
      </c>
      <c r="J81" s="348"/>
    </row>
    <row r="82" spans="2:10" s="341" customFormat="1" ht="12.75" x14ac:dyDescent="0.25">
      <c r="B82" s="345"/>
      <c r="C82" s="345"/>
      <c r="D82" s="345"/>
      <c r="E82" s="585">
        <f ca="1">'6 PEF'!K$29</f>
        <v>2019</v>
      </c>
      <c r="F82" s="586" t="e">
        <f ca="1">IF(E82="","",'6 PEF'!K$17+'6 PEF'!K$15)</f>
        <v>#DIV/0!</v>
      </c>
      <c r="G82" s="586">
        <f ca="1">IF(E82="","",'6 PEF'!K$18+'F-Calc Cash flow'!$J$60)</f>
        <v>2223</v>
      </c>
      <c r="H82" s="586" t="e">
        <f ca="1">IF(E82="","",'6 PEF'!K$25+'6 PEF'!K$24+'6 PEF'!K$22+'6 PEF'!K$20-'F-Calc Mortgage loan'!$H$14)</f>
        <v>#DIV/0!</v>
      </c>
      <c r="I82" s="586" t="e">
        <f ca="1">IF(E82="","",F82+G82+H82)</f>
        <v>#DIV/0!</v>
      </c>
      <c r="J82" s="348"/>
    </row>
    <row r="83" spans="2:10" s="341" customFormat="1" ht="12.75" x14ac:dyDescent="0.25">
      <c r="B83" s="345"/>
      <c r="C83" s="345"/>
      <c r="D83" s="345"/>
      <c r="E83" s="585">
        <f ca="1">'6 PEF'!L$29</f>
        <v>2020</v>
      </c>
      <c r="F83" s="586" t="e">
        <f ca="1">IF(E83="","",'6 PEF'!L$17+'6 PEF'!L$15)</f>
        <v>#DIV/0!</v>
      </c>
      <c r="G83" s="586">
        <f ca="1">IF(E83="","",'6 PEF'!L$18+'F-Calc Cash flow'!$J$60)</f>
        <v>2223</v>
      </c>
      <c r="H83" s="586" t="e">
        <f ca="1">IF(E83="","",'6 PEF'!L$25+'6 PEF'!L$24+'6 PEF'!L$22+'6 PEF'!L$20-'F-Calc Mortgage loan'!$H$14)</f>
        <v>#DIV/0!</v>
      </c>
      <c r="I83" s="586" t="e">
        <f t="shared" ref="I83:I99" ca="1" si="0">IF(E83="","",F83+G83+H83)</f>
        <v>#DIV/0!</v>
      </c>
      <c r="J83" s="348"/>
    </row>
    <row r="84" spans="2:10" s="341" customFormat="1" ht="12.75" x14ac:dyDescent="0.25">
      <c r="B84" s="345"/>
      <c r="C84" s="345"/>
      <c r="D84" s="345"/>
      <c r="E84" s="585">
        <f ca="1">'6 PEF'!M$29</f>
        <v>2021</v>
      </c>
      <c r="F84" s="586" t="e">
        <f ca="1">IF(E84="","",'6 PEF'!M$17+'6 PEF'!M$15)</f>
        <v>#DIV/0!</v>
      </c>
      <c r="G84" s="586">
        <f ca="1">IF(E84="","",'6 PEF'!M$18+'F-Calc Cash flow'!$J$60)</f>
        <v>2223</v>
      </c>
      <c r="H84" s="586" t="e">
        <f ca="1">IF(E84="","",'6 PEF'!M$25+'6 PEF'!M$24+'6 PEF'!M$22+'6 PEF'!M$20-'F-Calc Mortgage loan'!$H$14)</f>
        <v>#DIV/0!</v>
      </c>
      <c r="I84" s="586" t="e">
        <f t="shared" ca="1" si="0"/>
        <v>#DIV/0!</v>
      </c>
      <c r="J84" s="348"/>
    </row>
    <row r="85" spans="2:10" s="341" customFormat="1" ht="12.75" x14ac:dyDescent="0.25">
      <c r="B85" s="345"/>
      <c r="C85" s="345"/>
      <c r="D85" s="345"/>
      <c r="E85" s="585">
        <f ca="1">'6 PEF'!N$29</f>
        <v>2022</v>
      </c>
      <c r="F85" s="586" t="e">
        <f ca="1">IF(E85="","",'6 PEF'!N$17+'6 PEF'!N$15)</f>
        <v>#DIV/0!</v>
      </c>
      <c r="G85" s="586">
        <f ca="1">IF(E85="","",'6 PEF'!N$18+'F-Calc Cash flow'!$J$60)</f>
        <v>2223</v>
      </c>
      <c r="H85" s="586" t="e">
        <f ca="1">IF(E85="","",'6 PEF'!N$25+'6 PEF'!N$24+'6 PEF'!N$22+'6 PEF'!N$20-'F-Calc Mortgage loan'!$H$14)</f>
        <v>#DIV/0!</v>
      </c>
      <c r="I85" s="586" t="e">
        <f t="shared" ca="1" si="0"/>
        <v>#DIV/0!</v>
      </c>
      <c r="J85" s="348"/>
    </row>
    <row r="86" spans="2:10" s="341" customFormat="1" ht="12.75" x14ac:dyDescent="0.25">
      <c r="B86" s="345"/>
      <c r="C86" s="345"/>
      <c r="D86" s="345"/>
      <c r="E86" s="585">
        <f ca="1">'6 PEF'!O$29</f>
        <v>2023</v>
      </c>
      <c r="F86" s="586" t="e">
        <f ca="1">IF(E86="","",'6 PEF'!O$17+'6 PEF'!O$15)</f>
        <v>#DIV/0!</v>
      </c>
      <c r="G86" s="586">
        <f ca="1">IF(E86="","",'6 PEF'!O$18+'F-Calc Cash flow'!$J$60)</f>
        <v>2223</v>
      </c>
      <c r="H86" s="586" t="e">
        <f ca="1">IF(E86="","",'6 PEF'!O$25+'6 PEF'!O$24+'6 PEF'!O$22+'6 PEF'!O$20-'F-Calc Mortgage loan'!$H$14)</f>
        <v>#DIV/0!</v>
      </c>
      <c r="I86" s="586" t="e">
        <f t="shared" ca="1" si="0"/>
        <v>#DIV/0!</v>
      </c>
      <c r="J86" s="348"/>
    </row>
    <row r="87" spans="2:10" s="341" customFormat="1" ht="12.75" x14ac:dyDescent="0.25">
      <c r="B87" s="345"/>
      <c r="C87" s="345"/>
      <c r="D87" s="345"/>
      <c r="E87" s="585">
        <f ca="1">'6 PEF'!P$29</f>
        <v>2024</v>
      </c>
      <c r="F87" s="586" t="e">
        <f ca="1">IF(E87="","",'6 PEF'!P$17+'6 PEF'!P$15)</f>
        <v>#DIV/0!</v>
      </c>
      <c r="G87" s="586">
        <f ca="1">IF(E87="","",'6 PEF'!P$18+'F-Calc Cash flow'!$J$60)</f>
        <v>2223</v>
      </c>
      <c r="H87" s="586" t="e">
        <f ca="1">IF(E87="","",'6 PEF'!P$25+'6 PEF'!P$24+'6 PEF'!P$22+'6 PEF'!P$20-'F-Calc Mortgage loan'!$H$14)</f>
        <v>#DIV/0!</v>
      </c>
      <c r="I87" s="586" t="e">
        <f t="shared" ca="1" si="0"/>
        <v>#DIV/0!</v>
      </c>
      <c r="J87" s="348"/>
    </row>
    <row r="88" spans="2:10" s="341" customFormat="1" ht="12.75" x14ac:dyDescent="0.25">
      <c r="B88" s="345"/>
      <c r="C88" s="345"/>
      <c r="D88" s="345"/>
      <c r="E88" s="585">
        <f ca="1">'6 PEF'!Q$29</f>
        <v>2025</v>
      </c>
      <c r="F88" s="586" t="e">
        <f ca="1">IF(E88="","",'6 PEF'!Q$17+'6 PEF'!Q$15)</f>
        <v>#DIV/0!</v>
      </c>
      <c r="G88" s="586">
        <f ca="1">IF(E88="","",'6 PEF'!Q$18+'F-Calc Cash flow'!$J$60)</f>
        <v>2223</v>
      </c>
      <c r="H88" s="586" t="e">
        <f ca="1">IF(E88="","",'6 PEF'!Q$25+'6 PEF'!Q$24+'6 PEF'!Q$22+'6 PEF'!Q$20-'F-Calc Mortgage loan'!$H$14)</f>
        <v>#DIV/0!</v>
      </c>
      <c r="I88" s="586" t="e">
        <f t="shared" ca="1" si="0"/>
        <v>#DIV/0!</v>
      </c>
      <c r="J88" s="348"/>
    </row>
    <row r="89" spans="2:10" s="341" customFormat="1" ht="12.75" x14ac:dyDescent="0.25">
      <c r="B89" s="345"/>
      <c r="C89" s="345"/>
      <c r="D89" s="345"/>
      <c r="E89" s="585">
        <f ca="1">'6 PEF'!R$29</f>
        <v>2026</v>
      </c>
      <c r="F89" s="586" t="e">
        <f ca="1">IF(E89="","",'6 PEF'!R$17+'6 PEF'!R$15)</f>
        <v>#DIV/0!</v>
      </c>
      <c r="G89" s="586">
        <f ca="1">IF(E89="","",'6 PEF'!R$18+'F-Calc Cash flow'!$J$60)</f>
        <v>2223</v>
      </c>
      <c r="H89" s="586" t="e">
        <f ca="1">IF(E89="","",'6 PEF'!R$25+'6 PEF'!R$24+'6 PEF'!R$22+'6 PEF'!R$20-'F-Calc Mortgage loan'!$H$14)</f>
        <v>#DIV/0!</v>
      </c>
      <c r="I89" s="586" t="e">
        <f t="shared" ca="1" si="0"/>
        <v>#DIV/0!</v>
      </c>
      <c r="J89" s="348"/>
    </row>
    <row r="90" spans="2:10" s="341" customFormat="1" ht="12.75" x14ac:dyDescent="0.25">
      <c r="B90" s="345"/>
      <c r="C90" s="345"/>
      <c r="D90" s="345"/>
      <c r="E90" s="585">
        <f ca="1">'6 PEF'!S$29</f>
        <v>2027</v>
      </c>
      <c r="F90" s="586" t="e">
        <f ca="1">IF(E90="","",'6 PEF'!S$17+'6 PEF'!S$15)</f>
        <v>#DIV/0!</v>
      </c>
      <c r="G90" s="586">
        <f ca="1">IF(E90="","",'6 PEF'!S$18+'F-Calc Cash flow'!$J$60)</f>
        <v>2223</v>
      </c>
      <c r="H90" s="586" t="e">
        <f ca="1">IF(E90="","",'6 PEF'!S$25+'6 PEF'!S$24+'6 PEF'!S$22+'6 PEF'!S$20-'F-Calc Mortgage loan'!$H$14)</f>
        <v>#DIV/0!</v>
      </c>
      <c r="I90" s="586" t="e">
        <f t="shared" ca="1" si="0"/>
        <v>#DIV/0!</v>
      </c>
      <c r="J90" s="348"/>
    </row>
    <row r="91" spans="2:10" s="341" customFormat="1" ht="12.75" x14ac:dyDescent="0.25">
      <c r="B91" s="345"/>
      <c r="C91" s="345"/>
      <c r="D91" s="345"/>
      <c r="E91" s="585">
        <f ca="1">'6 PEF'!T$29</f>
        <v>2028</v>
      </c>
      <c r="F91" s="586" t="e">
        <f ca="1">IF(E91="","",'6 PEF'!T$17+'6 PEF'!T$15)</f>
        <v>#DIV/0!</v>
      </c>
      <c r="G91" s="586">
        <f ca="1">IF(E91="","",'6 PEF'!T$18+'F-Calc Cash flow'!$J$60)</f>
        <v>2223</v>
      </c>
      <c r="H91" s="586" t="e">
        <f ca="1">IF(E91="","",'6 PEF'!T$25+'6 PEF'!T$24+'6 PEF'!T$22+'6 PEF'!T$20-'F-Calc Mortgage loan'!$H$14)</f>
        <v>#DIV/0!</v>
      </c>
      <c r="I91" s="586" t="e">
        <f t="shared" ca="1" si="0"/>
        <v>#DIV/0!</v>
      </c>
      <c r="J91" s="348"/>
    </row>
    <row r="92" spans="2:10" s="341" customFormat="1" ht="12.75" x14ac:dyDescent="0.25">
      <c r="B92" s="345"/>
      <c r="C92" s="345"/>
      <c r="D92" s="345"/>
      <c r="E92" s="585">
        <f ca="1">'6 PEF'!U$29</f>
        <v>2029</v>
      </c>
      <c r="F92" s="586" t="e">
        <f ca="1">IF(E92="","",'6 PEF'!U$17+'6 PEF'!U$15)</f>
        <v>#DIV/0!</v>
      </c>
      <c r="G92" s="586">
        <f ca="1">IF(E92="","",'6 PEF'!U$18+'F-Calc Cash flow'!$J$60)</f>
        <v>2223</v>
      </c>
      <c r="H92" s="586" t="e">
        <f ca="1">IF(E92="","",'6 PEF'!U$25+'6 PEF'!U$24+'6 PEF'!U$22+'6 PEF'!U$20-'F-Calc Mortgage loan'!$H$14)</f>
        <v>#DIV/0!</v>
      </c>
      <c r="I92" s="586" t="e">
        <f t="shared" ca="1" si="0"/>
        <v>#DIV/0!</v>
      </c>
      <c r="J92" s="348"/>
    </row>
    <row r="93" spans="2:10" s="341" customFormat="1" ht="12.75" x14ac:dyDescent="0.25">
      <c r="B93" s="345"/>
      <c r="C93" s="345"/>
      <c r="D93" s="345"/>
      <c r="E93" s="585">
        <f ca="1">'6 PEF'!V$29</f>
        <v>2030</v>
      </c>
      <c r="F93" s="586" t="e">
        <f ca="1">IF(E93="","",'6 PEF'!V$17+'6 PEF'!V$15)</f>
        <v>#DIV/0!</v>
      </c>
      <c r="G93" s="586">
        <f ca="1">IF(E93="","",'6 PEF'!V$18+'F-Calc Cash flow'!$J$60)</f>
        <v>2223</v>
      </c>
      <c r="H93" s="586" t="e">
        <f ca="1">IF(E93="","",'6 PEF'!V$25+'6 PEF'!V$24+'6 PEF'!V$22+'6 PEF'!V$20-'F-Calc Mortgage loan'!$H$14)</f>
        <v>#DIV/0!</v>
      </c>
      <c r="I93" s="586" t="e">
        <f t="shared" ca="1" si="0"/>
        <v>#DIV/0!</v>
      </c>
      <c r="J93" s="348"/>
    </row>
    <row r="94" spans="2:10" ht="12.75" x14ac:dyDescent="0.25">
      <c r="E94" s="585">
        <f ca="1">'6 PEF'!W$29</f>
        <v>2031</v>
      </c>
      <c r="F94" s="586" t="e">
        <f ca="1">IF(E94="","",'6 PEF'!W$17+'6 PEF'!W$15)</f>
        <v>#DIV/0!</v>
      </c>
      <c r="G94" s="586">
        <f ca="1">IF(E94="","",'6 PEF'!W$18+'F-Calc Cash flow'!$J$60)</f>
        <v>2223</v>
      </c>
      <c r="H94" s="586" t="e">
        <f ca="1">IF(E94="","",'6 PEF'!W$25+'6 PEF'!W$24+'6 PEF'!W$22+'6 PEF'!W$20-'F-Calc Mortgage loan'!$H$14)</f>
        <v>#DIV/0!</v>
      </c>
      <c r="I94" s="586" t="e">
        <f ca="1">IF(E94="","",F94+G94+H94)</f>
        <v>#DIV/0!</v>
      </c>
    </row>
    <row r="95" spans="2:10" ht="12.75" x14ac:dyDescent="0.25">
      <c r="E95" s="585">
        <f ca="1">'6 PEF'!X$29</f>
        <v>2032</v>
      </c>
      <c r="F95" s="586" t="e">
        <f ca="1">IF(E95="","",'6 PEF'!X$17+'6 PEF'!X$15)</f>
        <v>#DIV/0!</v>
      </c>
      <c r="G95" s="586">
        <f ca="1">IF(E95="","",'6 PEF'!X$18+'F-Calc Cash flow'!$J$60)</f>
        <v>2223</v>
      </c>
      <c r="H95" s="586" t="e">
        <f ca="1">IF(E95="","",'6 PEF'!X$25+'6 PEF'!X$24+'6 PEF'!X$22+'6 PEF'!X$20-'F-Calc Mortgage loan'!$H$14)</f>
        <v>#DIV/0!</v>
      </c>
      <c r="I95" s="586" t="e">
        <f ca="1">IF(E95="","",F95+G95+H95)</f>
        <v>#DIV/0!</v>
      </c>
    </row>
    <row r="96" spans="2:10" ht="12.75" x14ac:dyDescent="0.25">
      <c r="E96" s="585">
        <f ca="1">'6 PEF'!Y$29</f>
        <v>2033</v>
      </c>
      <c r="F96" s="586" t="e">
        <f ca="1">IF(E96="","",'6 PEF'!Y$17+'6 PEF'!Y$15)</f>
        <v>#DIV/0!</v>
      </c>
      <c r="G96" s="586">
        <f ca="1">IF(E96="","",'6 PEF'!Y$18+'F-Calc Cash flow'!$J$60)</f>
        <v>2223</v>
      </c>
      <c r="H96" s="586" t="e">
        <f ca="1">IF(E96="","",'6 PEF'!Y$25+'6 PEF'!Y$24+'6 PEF'!Y$22+'6 PEF'!Y$20-'F-Calc Mortgage loan'!$H$14)</f>
        <v>#DIV/0!</v>
      </c>
      <c r="I96" s="586" t="e">
        <f ca="1">IF(E96="","",F96+G96+H96)</f>
        <v>#DIV/0!</v>
      </c>
    </row>
    <row r="97" spans="5:9" ht="12.75" x14ac:dyDescent="0.25">
      <c r="E97" s="585">
        <f ca="1">'6 PEF'!Z$29</f>
        <v>2034</v>
      </c>
      <c r="F97" s="586" t="e">
        <f ca="1">IF(E97="","",'6 PEF'!Z$17+'6 PEF'!Z$15)</f>
        <v>#DIV/0!</v>
      </c>
      <c r="G97" s="586">
        <f ca="1">IF(E97="","",'6 PEF'!Z$18+'F-Calc Cash flow'!$J$60)</f>
        <v>2223</v>
      </c>
      <c r="H97" s="586" t="e">
        <f ca="1">IF(E97="","",'6 PEF'!Z$25+'6 PEF'!Z$24+'6 PEF'!Z$22+'6 PEF'!Z$20-'F-Calc Mortgage loan'!$H$14)</f>
        <v>#DIV/0!</v>
      </c>
      <c r="I97" s="586" t="e">
        <f ca="1">IF(E97="","",F97+G97+H97)</f>
        <v>#DIV/0!</v>
      </c>
    </row>
    <row r="98" spans="5:9" ht="12.75" x14ac:dyDescent="0.25">
      <c r="E98" s="585">
        <f ca="1">'6 PEF'!AA$29</f>
        <v>2035</v>
      </c>
      <c r="F98" s="586" t="e">
        <f ca="1">IF(E98="","",'6 PEF'!AA$17+'6 PEF'!AA$15)</f>
        <v>#DIV/0!</v>
      </c>
      <c r="G98" s="586">
        <f ca="1">IF(E98="","",'6 PEF'!AA$18+'F-Calc Cash flow'!$J$60)</f>
        <v>2223</v>
      </c>
      <c r="H98" s="586" t="e">
        <f ca="1">IF(E98="","",'6 PEF'!AA$25+'6 PEF'!AA$24+'6 PEF'!AA$22+'6 PEF'!AA$20-'F-Calc Mortgage loan'!$H$14)</f>
        <v>#DIV/0!</v>
      </c>
      <c r="I98" s="586" t="e">
        <f ca="1">IF(E98="","",F98+G98+H98)</f>
        <v>#DIV/0!</v>
      </c>
    </row>
    <row r="99" spans="5:9" ht="12.75" x14ac:dyDescent="0.25">
      <c r="E99" s="585">
        <f ca="1">'6 PEF'!AB$29</f>
        <v>2036</v>
      </c>
      <c r="F99" s="586" t="e">
        <f ca="1">IF(E99="","",'6 PEF'!AB$17+'6 PEF'!AB$15)</f>
        <v>#DIV/0!</v>
      </c>
      <c r="G99" s="586">
        <f ca="1">IF(E99="","",'6 PEF'!AB$18+'F-Calc Cash flow'!$J$60)</f>
        <v>2223</v>
      </c>
      <c r="H99" s="586" t="e">
        <f ca="1">IF(E99="","",'6 PEF'!AB$25+'6 PEF'!AB$24+'6 PEF'!AB$22+'6 PEF'!AB$20-'F-Calc Mortgage loan'!$H$14)</f>
        <v>#DIV/0!</v>
      </c>
      <c r="I99" s="586" t="e">
        <f t="shared" ca="1" si="0"/>
        <v>#DIV/0!</v>
      </c>
    </row>
    <row r="100" spans="5:9" ht="12.75" x14ac:dyDescent="0.25">
      <c r="E100" s="585">
        <f ca="1">'6 PEF'!AC$29</f>
        <v>2037</v>
      </c>
      <c r="F100" s="586" t="e">
        <f ca="1">IF(E100="","",'6 PEF'!AC$17+'6 PEF'!AC$15)</f>
        <v>#DIV/0!</v>
      </c>
      <c r="G100" s="586">
        <f ca="1">IF(E100="","",'6 PEF'!AC$18+'F-Calc Cash flow'!$J$60)</f>
        <v>2223</v>
      </c>
      <c r="H100" s="586" t="e">
        <f ca="1">IF(E100="","",'6 PEF'!AC$25+'6 PEF'!AC$24+'6 PEF'!AC$22+'6 PEF'!AC$20-'F-Calc Mortgage loan'!$H$14)</f>
        <v>#DIV/0!</v>
      </c>
      <c r="I100" s="586" t="e">
        <f ca="1">IF(E100="","",F100+G100+H100)</f>
        <v>#DIV/0!</v>
      </c>
    </row>
    <row r="101" spans="5:9" ht="12.75" x14ac:dyDescent="0.25">
      <c r="E101" s="585">
        <f ca="1">'6 PEF'!AD$29</f>
        <v>2038</v>
      </c>
      <c r="F101" s="586" t="e">
        <f ca="1">IF(E101="","",'6 PEF'!AD$17+'6 PEF'!AD$15)</f>
        <v>#DIV/0!</v>
      </c>
      <c r="G101" s="586">
        <f ca="1">IF(E101="","",'6 PEF'!AD$18+'F-Calc Cash flow'!$J$60)</f>
        <v>2223</v>
      </c>
      <c r="H101" s="586" t="e">
        <f ca="1">IF(E101="","",'6 PEF'!AD$25+'6 PEF'!AD$24+'6 PEF'!AD$22+'6 PEF'!AD$20-'F-Calc Mortgage loan'!$H$14)</f>
        <v>#DIV/0!</v>
      </c>
      <c r="I101" s="586" t="e">
        <f ca="1">IF(E101="","",F101+G101+H101)</f>
        <v>#DIV/0!</v>
      </c>
    </row>
  </sheetData>
  <sheetProtection password="86DD" sheet="1" objects="1" scenarios="1" selectLockedCells="1"/>
  <mergeCells count="64">
    <mergeCell ref="B72:C72"/>
    <mergeCell ref="H78:I78"/>
    <mergeCell ref="H39:I39"/>
    <mergeCell ref="B41:J41"/>
    <mergeCell ref="B43:D43"/>
    <mergeCell ref="H43:J43"/>
    <mergeCell ref="H60:I60"/>
    <mergeCell ref="H62:J62"/>
    <mergeCell ref="F45:H45"/>
    <mergeCell ref="F46:H46"/>
    <mergeCell ref="F47:H47"/>
    <mergeCell ref="F48:H48"/>
    <mergeCell ref="F49:H49"/>
    <mergeCell ref="F50:H50"/>
    <mergeCell ref="F51:H51"/>
    <mergeCell ref="F52:H52"/>
    <mergeCell ref="F26:H26"/>
    <mergeCell ref="F25:H25"/>
    <mergeCell ref="F19:H19"/>
    <mergeCell ref="F18:H18"/>
    <mergeCell ref="F17:H17"/>
    <mergeCell ref="B2:J2"/>
    <mergeCell ref="B4:D4"/>
    <mergeCell ref="H4:J4"/>
    <mergeCell ref="H21:I21"/>
    <mergeCell ref="H23:J23"/>
    <mergeCell ref="F16:H16"/>
    <mergeCell ref="F15:H15"/>
    <mergeCell ref="F14:H14"/>
    <mergeCell ref="F13:H13"/>
    <mergeCell ref="F12:H12"/>
    <mergeCell ref="F6:H6"/>
    <mergeCell ref="F11:H11"/>
    <mergeCell ref="F10:H10"/>
    <mergeCell ref="F9:H9"/>
    <mergeCell ref="F8:H8"/>
    <mergeCell ref="F7:H7"/>
    <mergeCell ref="F54:H54"/>
    <mergeCell ref="F55:H55"/>
    <mergeCell ref="F56:H56"/>
    <mergeCell ref="F57:H57"/>
    <mergeCell ref="B33:C33"/>
    <mergeCell ref="F35:H35"/>
    <mergeCell ref="F74:H74"/>
    <mergeCell ref="F75:H75"/>
    <mergeCell ref="F76:H76"/>
    <mergeCell ref="F37:H37"/>
    <mergeCell ref="F36:H36"/>
    <mergeCell ref="F69:H69"/>
    <mergeCell ref="F70:H70"/>
    <mergeCell ref="F71:H71"/>
    <mergeCell ref="F72:H72"/>
    <mergeCell ref="F73:H73"/>
    <mergeCell ref="F58:H58"/>
    <mergeCell ref="F64:H64"/>
    <mergeCell ref="F65:H65"/>
    <mergeCell ref="F66:H66"/>
    <mergeCell ref="F68:H68"/>
    <mergeCell ref="F53:H53"/>
    <mergeCell ref="F32:H32"/>
    <mergeCell ref="F30:H30"/>
    <mergeCell ref="F29:H29"/>
    <mergeCell ref="F27:H27"/>
    <mergeCell ref="F28:H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Z121"/>
  <sheetViews>
    <sheetView zoomScale="85" zoomScaleNormal="85" zoomScaleSheetLayoutView="85" workbookViewId="0">
      <selection activeCell="B1" sqref="B1"/>
    </sheetView>
  </sheetViews>
  <sheetFormatPr defaultRowHeight="12" x14ac:dyDescent="0.25"/>
  <cols>
    <col min="1" max="1" width="2.7109375" style="360" customWidth="1"/>
    <col min="2" max="5" width="13.28515625" style="360" customWidth="1"/>
    <col min="6" max="6" width="13.28515625" style="405" customWidth="1"/>
    <col min="7" max="26" width="11.7109375" style="360" customWidth="1"/>
    <col min="27" max="16384" width="9.140625" style="360"/>
  </cols>
  <sheetData>
    <row r="2" spans="2:26" x14ac:dyDescent="0.25">
      <c r="G2" s="355">
        <f>IF('6 PEF'!K6="","",'6 PEF'!K6)</f>
        <v>1</v>
      </c>
      <c r="H2" s="355">
        <f>IF('6 PEF'!L6="","",'6 PEF'!L6)</f>
        <v>2</v>
      </c>
      <c r="I2" s="355">
        <f>IF('6 PEF'!M6="","",'6 PEF'!M6)</f>
        <v>3</v>
      </c>
      <c r="J2" s="355">
        <f>IF('6 PEF'!N6="","",'6 PEF'!N6)</f>
        <v>4</v>
      </c>
      <c r="K2" s="355">
        <f>IF('6 PEF'!O6="","",'6 PEF'!O6)</f>
        <v>5</v>
      </c>
      <c r="L2" s="355">
        <f>IF('6 PEF'!P6="","",'6 PEF'!P6)</f>
        <v>6</v>
      </c>
      <c r="M2" s="355">
        <f>IF('6 PEF'!Q6="","",'6 PEF'!Q6)</f>
        <v>7</v>
      </c>
      <c r="N2" s="355">
        <f>IF('6 PEF'!R6="","",'6 PEF'!R6)</f>
        <v>8</v>
      </c>
      <c r="O2" s="355">
        <f>IF('6 PEF'!S6="","",'6 PEF'!S6)</f>
        <v>9</v>
      </c>
      <c r="P2" s="355">
        <f>IF('6 PEF'!T6="","",'6 PEF'!T6)</f>
        <v>10</v>
      </c>
      <c r="Q2" s="355">
        <f>IF('6 PEF'!U6="","",'6 PEF'!U6)</f>
        <v>11</v>
      </c>
      <c r="R2" s="355">
        <f>IF('6 PEF'!V6="","",'6 PEF'!V6)</f>
        <v>12</v>
      </c>
      <c r="S2" s="355">
        <f>IF('6 PEF'!W6="","",'6 PEF'!W6)</f>
        <v>13</v>
      </c>
      <c r="T2" s="355">
        <f>IF('6 PEF'!X6="","",'6 PEF'!X6)</f>
        <v>14</v>
      </c>
      <c r="U2" s="355">
        <f>IF('6 PEF'!Y6="","",'6 PEF'!Y6)</f>
        <v>15</v>
      </c>
      <c r="V2" s="355">
        <f>IF('6 PEF'!Z6="","",'6 PEF'!Z6)</f>
        <v>16</v>
      </c>
      <c r="W2" s="355">
        <f>IF('6 PEF'!AA6="","",'6 PEF'!AA6)</f>
        <v>17</v>
      </c>
      <c r="X2" s="355">
        <f>IF('6 PEF'!AB6="","",'6 PEF'!AB6)</f>
        <v>18</v>
      </c>
      <c r="Y2" s="355">
        <f>IF('6 PEF'!AC6="","",'6 PEF'!AC6)</f>
        <v>19</v>
      </c>
      <c r="Z2" s="355">
        <f>IF('6 PEF'!AD6="","",'6 PEF'!AD6)</f>
        <v>20</v>
      </c>
    </row>
    <row r="3" spans="2:26" x14ac:dyDescent="0.25">
      <c r="G3" s="355">
        <f ca="1">IF(G2="","",'6 PEF'!K7)</f>
        <v>2019</v>
      </c>
      <c r="H3" s="355">
        <f ca="1">IF(H2="","",'6 PEF'!L7)</f>
        <v>2020</v>
      </c>
      <c r="I3" s="355">
        <f ca="1">IF(I2="","",'6 PEF'!M7)</f>
        <v>2021</v>
      </c>
      <c r="J3" s="355">
        <f ca="1">IF(J2="","",'6 PEF'!N7)</f>
        <v>2022</v>
      </c>
      <c r="K3" s="355">
        <f ca="1">IF(K2="","",'6 PEF'!O7)</f>
        <v>2023</v>
      </c>
      <c r="L3" s="355">
        <f ca="1">IF(L2="","",'6 PEF'!P7)</f>
        <v>2024</v>
      </c>
      <c r="M3" s="355">
        <f ca="1">IF(M2="","",'6 PEF'!Q7)</f>
        <v>2025</v>
      </c>
      <c r="N3" s="355">
        <f ca="1">IF(N2="","",'6 PEF'!R7)</f>
        <v>2026</v>
      </c>
      <c r="O3" s="355">
        <f ca="1">IF(O2="","",'6 PEF'!S7)</f>
        <v>2027</v>
      </c>
      <c r="P3" s="355">
        <f ca="1">IF(P2="","",'6 PEF'!T7)</f>
        <v>2028</v>
      </c>
      <c r="Q3" s="355">
        <f ca="1">IF(Q2="","",'6 PEF'!U7)</f>
        <v>2029</v>
      </c>
      <c r="R3" s="355">
        <f ca="1">IF(R2="","",'6 PEF'!V7)</f>
        <v>2030</v>
      </c>
      <c r="S3" s="355">
        <f ca="1">IF(S2="","",'6 PEF'!W7)</f>
        <v>2031</v>
      </c>
      <c r="T3" s="355">
        <f ca="1">IF(T2="","",'6 PEF'!X7)</f>
        <v>2032</v>
      </c>
      <c r="U3" s="355">
        <f ca="1">IF(U2="","",'6 PEF'!Y7)</f>
        <v>2033</v>
      </c>
      <c r="V3" s="355">
        <f ca="1">IF(V2="","",'6 PEF'!Z7)</f>
        <v>2034</v>
      </c>
      <c r="W3" s="355">
        <f ca="1">IF(W2="","",'6 PEF'!AA7)</f>
        <v>2035</v>
      </c>
      <c r="X3" s="355">
        <f ca="1">IF(X2="","",'6 PEF'!AB7)</f>
        <v>2036</v>
      </c>
      <c r="Y3" s="355">
        <f ca="1">IF(Y2="","",'6 PEF'!AC7)</f>
        <v>2037</v>
      </c>
      <c r="Z3" s="355">
        <f ca="1">IF(Z2="","",'6 PEF'!AD7)</f>
        <v>2038</v>
      </c>
    </row>
    <row r="4" spans="2:26" x14ac:dyDescent="0.25">
      <c r="B4" s="791" t="s">
        <v>656</v>
      </c>
      <c r="C4" s="792"/>
      <c r="D4" s="792"/>
      <c r="E4" s="792"/>
      <c r="F4" s="793"/>
      <c r="G4" s="485" t="e">
        <f>'5'!$I$10</f>
        <v>#DIV/0!</v>
      </c>
      <c r="H4" s="485" t="e">
        <f>'5'!$I$10</f>
        <v>#DIV/0!</v>
      </c>
      <c r="I4" s="485" t="e">
        <f>'5'!$I$10</f>
        <v>#DIV/0!</v>
      </c>
      <c r="J4" s="485" t="e">
        <f>'5'!$I$10</f>
        <v>#DIV/0!</v>
      </c>
      <c r="K4" s="485" t="e">
        <f>'5'!$I$10</f>
        <v>#DIV/0!</v>
      </c>
      <c r="L4" s="485" t="e">
        <f>'5'!$I$10</f>
        <v>#DIV/0!</v>
      </c>
      <c r="M4" s="485" t="e">
        <f>'5'!$I$10</f>
        <v>#DIV/0!</v>
      </c>
      <c r="N4" s="485" t="e">
        <f>'5'!$I$10</f>
        <v>#DIV/0!</v>
      </c>
      <c r="O4" s="485" t="e">
        <f>'5'!$I$10</f>
        <v>#DIV/0!</v>
      </c>
      <c r="P4" s="485" t="e">
        <f>'5'!$I$10</f>
        <v>#DIV/0!</v>
      </c>
      <c r="Q4" s="485" t="e">
        <f>'5'!$I$10</f>
        <v>#DIV/0!</v>
      </c>
      <c r="R4" s="485" t="e">
        <f>'5'!$I$10</f>
        <v>#DIV/0!</v>
      </c>
      <c r="S4" s="485" t="e">
        <f>'5'!$I$10</f>
        <v>#DIV/0!</v>
      </c>
      <c r="T4" s="485" t="e">
        <f>'5'!$I$10</f>
        <v>#DIV/0!</v>
      </c>
      <c r="U4" s="485" t="e">
        <f>'5'!$I$10</f>
        <v>#DIV/0!</v>
      </c>
      <c r="V4" s="485" t="e">
        <f>'5'!$I$10</f>
        <v>#DIV/0!</v>
      </c>
      <c r="W4" s="485" t="e">
        <f>'5'!$I$10</f>
        <v>#DIV/0!</v>
      </c>
      <c r="X4" s="485" t="e">
        <f>'5'!$I$10</f>
        <v>#DIV/0!</v>
      </c>
      <c r="Y4" s="485" t="e">
        <f>'5'!$I$10</f>
        <v>#DIV/0!</v>
      </c>
      <c r="Z4" s="485" t="e">
        <f>'5'!$I$10</f>
        <v>#DIV/0!</v>
      </c>
    </row>
    <row r="5" spans="2:26" x14ac:dyDescent="0.25">
      <c r="B5" s="479"/>
      <c r="C5" s="480"/>
      <c r="D5" s="480"/>
      <c r="E5" s="480"/>
      <c r="F5" s="481" t="s">
        <v>718</v>
      </c>
      <c r="G5" s="404">
        <f>$Z$5*'6 PEF'!K53/'6 PEF'!$AD$53</f>
        <v>3.4999999999999996E-2</v>
      </c>
      <c r="H5" s="404">
        <f>$Z$5*'6 PEF'!L53/'6 PEF'!$AD$53</f>
        <v>6.9999999999999993E-2</v>
      </c>
      <c r="I5" s="404">
        <f>$Z$5*'6 PEF'!M53/'6 PEF'!$AD$53</f>
        <v>0.10499999999999998</v>
      </c>
      <c r="J5" s="404">
        <f>$Z$5*'6 PEF'!N53/'6 PEF'!$AD$53</f>
        <v>0.13999999999999999</v>
      </c>
      <c r="K5" s="404">
        <f>$Z$5*'6 PEF'!O53/'6 PEF'!$AD$53</f>
        <v>0.17499999999999999</v>
      </c>
      <c r="L5" s="404">
        <f>$Z$5*'6 PEF'!P53/'6 PEF'!$AD$53</f>
        <v>0.20999999999999996</v>
      </c>
      <c r="M5" s="404">
        <f>$Z$5*'6 PEF'!Q53/'6 PEF'!$AD$53</f>
        <v>0.24499999999999997</v>
      </c>
      <c r="N5" s="404">
        <f>$Z$5*'6 PEF'!R53/'6 PEF'!$AD$53</f>
        <v>0.27999999999999997</v>
      </c>
      <c r="O5" s="404">
        <f>$Z$5*'6 PEF'!S53/'6 PEF'!$AD$53</f>
        <v>0.315</v>
      </c>
      <c r="P5" s="404">
        <f>$Z$5*'6 PEF'!T53/'6 PEF'!$AD$53</f>
        <v>0.35</v>
      </c>
      <c r="Q5" s="404">
        <f>$Z$5*'6 PEF'!U53/'6 PEF'!$AD$53</f>
        <v>0.38499999999999995</v>
      </c>
      <c r="R5" s="404">
        <f>$Z$5*'6 PEF'!V53/'6 PEF'!$AD$53</f>
        <v>0.41999999999999993</v>
      </c>
      <c r="S5" s="404">
        <f>$Z$5*'6 PEF'!W53/'6 PEF'!$AD$53</f>
        <v>0.45499999999999996</v>
      </c>
      <c r="T5" s="404">
        <f>$Z$5*'6 PEF'!X53/'6 PEF'!$AD$53</f>
        <v>0.48999999999999994</v>
      </c>
      <c r="U5" s="404">
        <f>$Z$5*'6 PEF'!Y53/'6 PEF'!$AD$53</f>
        <v>0.52500000000000002</v>
      </c>
      <c r="V5" s="404">
        <f>$Z$5*'6 PEF'!Z53/'6 PEF'!$AD$53</f>
        <v>0.55999999999999994</v>
      </c>
      <c r="W5" s="404">
        <f>$Z$5*'6 PEF'!AA53/'6 PEF'!$AD$53</f>
        <v>0.59499999999999997</v>
      </c>
      <c r="X5" s="404">
        <f>$Z$5*'6 PEF'!AB53/'6 PEF'!$AD$53</f>
        <v>0.63</v>
      </c>
      <c r="Y5" s="404">
        <f>$Z$5*'6 PEF'!AC53/'6 PEF'!$AD$53</f>
        <v>0.66499999999999992</v>
      </c>
      <c r="Z5" s="404">
        <f>Parameters!J97</f>
        <v>0.7</v>
      </c>
    </row>
    <row r="6" spans="2:26" x14ac:dyDescent="0.25">
      <c r="B6" s="479"/>
      <c r="C6" s="480"/>
      <c r="D6" s="480" t="s">
        <v>719</v>
      </c>
      <c r="E6" s="489">
        <f>VLOOKUP('4'!E73,'4'!C74:J75,8,FALSE)</f>
        <v>-52.5</v>
      </c>
      <c r="F6" s="481" t="s">
        <v>225</v>
      </c>
      <c r="G6" s="488">
        <f>$E$6-('T-Calc option A'!$P$23*+'F-Calc Subsidy'!G5)</f>
        <v>-56.174999999999997</v>
      </c>
      <c r="H6" s="488">
        <f>$E$6-('T-Calc option A'!$P$23*+'F-Calc Subsidy'!H5)</f>
        <v>-59.85</v>
      </c>
      <c r="I6" s="488">
        <f>$E$6-('T-Calc option A'!$P$23*+'F-Calc Subsidy'!I5)</f>
        <v>-63.524999999999999</v>
      </c>
      <c r="J6" s="488">
        <f>$E$6-('T-Calc option A'!$P$23*+'F-Calc Subsidy'!J5)</f>
        <v>-67.2</v>
      </c>
      <c r="K6" s="488">
        <f>$E$6-('T-Calc option A'!$P$23*+'F-Calc Subsidy'!K5)</f>
        <v>-70.875</v>
      </c>
      <c r="L6" s="488">
        <f>$E$6-('T-Calc option A'!$P$23*+'F-Calc Subsidy'!L5)</f>
        <v>-74.55</v>
      </c>
      <c r="M6" s="488">
        <f>$E$6-('T-Calc option A'!$P$23*+'F-Calc Subsidy'!M5)</f>
        <v>-78.224999999999994</v>
      </c>
      <c r="N6" s="488">
        <f>$E$6-('T-Calc option A'!$P$23*+'F-Calc Subsidy'!N5)</f>
        <v>-81.900000000000006</v>
      </c>
      <c r="O6" s="488">
        <f>$E$6-('T-Calc option A'!$P$23*+'F-Calc Subsidy'!O5)</f>
        <v>-85.575000000000003</v>
      </c>
      <c r="P6" s="488">
        <f>$E$6-('T-Calc option A'!$P$23*+'F-Calc Subsidy'!P5)</f>
        <v>-89.25</v>
      </c>
      <c r="Q6" s="488">
        <f>$E$6-('T-Calc option A'!$P$23*+'F-Calc Subsidy'!Q5)</f>
        <v>-92.924999999999997</v>
      </c>
      <c r="R6" s="488">
        <f>$E$6-('T-Calc option A'!$P$23*+'F-Calc Subsidy'!R5)</f>
        <v>-96.6</v>
      </c>
      <c r="S6" s="488">
        <f>$E$6-('T-Calc option A'!$P$23*+'F-Calc Subsidy'!S5)</f>
        <v>-100.27500000000001</v>
      </c>
      <c r="T6" s="488">
        <f>$E$6-('T-Calc option A'!$P$23*+'F-Calc Subsidy'!T5)</f>
        <v>-103.94999999999999</v>
      </c>
      <c r="U6" s="488">
        <f>$E$6-('T-Calc option A'!$P$23*+'F-Calc Subsidy'!U5)</f>
        <v>-107.625</v>
      </c>
      <c r="V6" s="488">
        <f>$E$6-('T-Calc option A'!$P$23*+'F-Calc Subsidy'!V5)</f>
        <v>-111.3</v>
      </c>
      <c r="W6" s="488">
        <f>$E$6-('T-Calc option A'!$P$23*+'F-Calc Subsidy'!W5)</f>
        <v>-114.97499999999999</v>
      </c>
      <c r="X6" s="488">
        <f>$E$6-('T-Calc option A'!$P$23*+'F-Calc Subsidy'!X5)</f>
        <v>-118.65</v>
      </c>
      <c r="Y6" s="488">
        <f>$E$6-('T-Calc option A'!$P$23*+'F-Calc Subsidy'!Y5)</f>
        <v>-122.32499999999999</v>
      </c>
      <c r="Z6" s="488">
        <f>$E$6-('T-Calc option A'!$P$23*+'F-Calc Subsidy'!Z5)</f>
        <v>-126</v>
      </c>
    </row>
    <row r="7" spans="2:26" x14ac:dyDescent="0.25">
      <c r="B7" s="791" t="s">
        <v>717</v>
      </c>
      <c r="C7" s="792"/>
      <c r="D7" s="792"/>
      <c r="E7" s="792"/>
      <c r="F7" s="793"/>
      <c r="G7" s="353" t="e">
        <f t="shared" ref="G7:Z7" si="0">IF(G2="","",G4*G6/$E$6)</f>
        <v>#DIV/0!</v>
      </c>
      <c r="H7" s="353" t="e">
        <f t="shared" si="0"/>
        <v>#DIV/0!</v>
      </c>
      <c r="I7" s="353" t="e">
        <f t="shared" si="0"/>
        <v>#DIV/0!</v>
      </c>
      <c r="J7" s="353" t="e">
        <f t="shared" si="0"/>
        <v>#DIV/0!</v>
      </c>
      <c r="K7" s="353" t="e">
        <f t="shared" si="0"/>
        <v>#DIV/0!</v>
      </c>
      <c r="L7" s="353" t="e">
        <f t="shared" si="0"/>
        <v>#DIV/0!</v>
      </c>
      <c r="M7" s="353" t="e">
        <f t="shared" si="0"/>
        <v>#DIV/0!</v>
      </c>
      <c r="N7" s="353" t="e">
        <f t="shared" si="0"/>
        <v>#DIV/0!</v>
      </c>
      <c r="O7" s="353" t="e">
        <f t="shared" si="0"/>
        <v>#DIV/0!</v>
      </c>
      <c r="P7" s="353" t="e">
        <f t="shared" si="0"/>
        <v>#DIV/0!</v>
      </c>
      <c r="Q7" s="353" t="e">
        <f t="shared" si="0"/>
        <v>#DIV/0!</v>
      </c>
      <c r="R7" s="353" t="e">
        <f t="shared" si="0"/>
        <v>#DIV/0!</v>
      </c>
      <c r="S7" s="353" t="e">
        <f t="shared" si="0"/>
        <v>#DIV/0!</v>
      </c>
      <c r="T7" s="353" t="e">
        <f t="shared" si="0"/>
        <v>#DIV/0!</v>
      </c>
      <c r="U7" s="353" t="e">
        <f t="shared" si="0"/>
        <v>#DIV/0!</v>
      </c>
      <c r="V7" s="353" t="e">
        <f t="shared" si="0"/>
        <v>#DIV/0!</v>
      </c>
      <c r="W7" s="353" t="e">
        <f t="shared" si="0"/>
        <v>#DIV/0!</v>
      </c>
      <c r="X7" s="353" t="e">
        <f t="shared" si="0"/>
        <v>#DIV/0!</v>
      </c>
      <c r="Y7" s="353" t="e">
        <f t="shared" si="0"/>
        <v>#DIV/0!</v>
      </c>
      <c r="Z7" s="353" t="e">
        <f t="shared" si="0"/>
        <v>#DIV/0!</v>
      </c>
    </row>
    <row r="8" spans="2:26" x14ac:dyDescent="0.25">
      <c r="B8" s="791" t="s">
        <v>657</v>
      </c>
      <c r="C8" s="792"/>
      <c r="D8" s="792"/>
      <c r="E8" s="792"/>
      <c r="F8" s="793"/>
      <c r="G8" s="353">
        <f>IF(G2="","",'5'!$I$12)</f>
        <v>0</v>
      </c>
      <c r="H8" s="353">
        <f>IF(H2="","",'5'!$I$12)</f>
        <v>0</v>
      </c>
      <c r="I8" s="353">
        <f>IF(I2="","",'5'!$I$12)</f>
        <v>0</v>
      </c>
      <c r="J8" s="353">
        <f>IF(J2="","",'5'!$I$12)</f>
        <v>0</v>
      </c>
      <c r="K8" s="353">
        <f>IF(K2="","",'5'!$I$12)</f>
        <v>0</v>
      </c>
      <c r="L8" s="353">
        <f>IF(L2="","",'5'!$I$12)</f>
        <v>0</v>
      </c>
      <c r="M8" s="353">
        <f>IF(M2="","",'5'!$I$12)</f>
        <v>0</v>
      </c>
      <c r="N8" s="353">
        <f>IF(N2="","",'5'!$I$12)</f>
        <v>0</v>
      </c>
      <c r="O8" s="353">
        <f>IF(O2="","",'5'!$I$12)</f>
        <v>0</v>
      </c>
      <c r="P8" s="353">
        <f>IF(P2="","",'5'!$I$12)</f>
        <v>0</v>
      </c>
      <c r="Q8" s="353">
        <f>IF(Q2="","",'5'!$I$12)</f>
        <v>0</v>
      </c>
      <c r="R8" s="353">
        <f>IF(R2="","",'5'!$I$12)</f>
        <v>0</v>
      </c>
      <c r="S8" s="353">
        <f>IF(S2="","",'5'!$I$12)</f>
        <v>0</v>
      </c>
      <c r="T8" s="353">
        <f>IF(T2="","",'5'!$I$12)</f>
        <v>0</v>
      </c>
      <c r="U8" s="353">
        <f>IF(U2="","",'5'!$I$12)</f>
        <v>0</v>
      </c>
      <c r="V8" s="353">
        <f>IF(V2="","",'5'!$I$12)</f>
        <v>0</v>
      </c>
      <c r="W8" s="353">
        <f>IF(W2="","",'5'!$I$12)</f>
        <v>0</v>
      </c>
      <c r="X8" s="353">
        <f>IF(X2="","",'5'!$I$12)</f>
        <v>0</v>
      </c>
      <c r="Y8" s="353">
        <f>IF(Y2="","",'5'!$I$12)</f>
        <v>0</v>
      </c>
      <c r="Z8" s="353">
        <f>IF(Z2="","",'5'!$I$12)</f>
        <v>0</v>
      </c>
    </row>
    <row r="9" spans="2:26" x14ac:dyDescent="0.25">
      <c r="B9" s="426"/>
      <c r="C9" s="426"/>
      <c r="D9" s="426"/>
      <c r="E9" s="426"/>
      <c r="F9" s="427"/>
    </row>
    <row r="10" spans="2:26" x14ac:dyDescent="0.25">
      <c r="B10" s="791" t="s">
        <v>658</v>
      </c>
      <c r="C10" s="792"/>
      <c r="D10" s="792"/>
      <c r="E10" s="792"/>
      <c r="F10" s="793"/>
      <c r="G10" s="404">
        <v>1</v>
      </c>
      <c r="H10" s="404">
        <f>IF(H2="","",$G$10*(1+('5'!$I$22/100))^G2)</f>
        <v>1.01</v>
      </c>
      <c r="I10" s="404">
        <f>IF(I2="","",$G$10*(1+('5'!$I$22/100))^H2)</f>
        <v>1.0201</v>
      </c>
      <c r="J10" s="404">
        <f>IF(J2="","",$G$10*(1+('5'!$I$22/100))^I2)</f>
        <v>1.0303009999999999</v>
      </c>
      <c r="K10" s="404">
        <f>IF(K2="","",$G$10*(1+('5'!$I$22/100))^J2)</f>
        <v>1.04060401</v>
      </c>
      <c r="L10" s="404">
        <f>IF(L2="","",$G$10*(1+('5'!$I$22/100))^K2)</f>
        <v>1.0510100500999999</v>
      </c>
      <c r="M10" s="404">
        <f>IF(M2="","",$G$10*(1+('5'!$I$22/100))^L2)</f>
        <v>1.0615201506010001</v>
      </c>
      <c r="N10" s="404">
        <f>IF(N2="","",$G$10*(1+('5'!$I$22/100))^M2)</f>
        <v>1.0721353521070098</v>
      </c>
      <c r="O10" s="404">
        <f>IF(O2="","",$G$10*(1+('5'!$I$22/100))^N2)</f>
        <v>1.0828567056280802</v>
      </c>
      <c r="P10" s="404">
        <f>IF(P2="","",$G$10*(1+('5'!$I$22/100))^O2)</f>
        <v>1.0936852726843611</v>
      </c>
      <c r="Q10" s="404">
        <f>IF(Q2="","",$G$10*(1+('5'!$I$22/100))^P2)</f>
        <v>1.1046221254112047</v>
      </c>
      <c r="R10" s="404">
        <f>IF(R2="","",$G$10*(1+('5'!$I$22/100))^Q2)</f>
        <v>1.1156683466653166</v>
      </c>
      <c r="S10" s="404">
        <f>IF(S2="","",$G$10*(1+('5'!$I$22/100))^R2)</f>
        <v>1.1268250301319698</v>
      </c>
      <c r="T10" s="404">
        <f>IF(T2="","",$G$10*(1+('5'!$I$22/100))^S2)</f>
        <v>1.1380932804332895</v>
      </c>
      <c r="U10" s="404">
        <f>IF(U2="","",$G$10*(1+('5'!$I$22/100))^T2)</f>
        <v>1.1494742132376226</v>
      </c>
      <c r="V10" s="404">
        <f>IF(V2="","",$G$10*(1+('5'!$I$22/100))^U2)</f>
        <v>1.1609689553699984</v>
      </c>
      <c r="W10" s="404">
        <f>IF(W2="","",$G$10*(1+('5'!$I$22/100))^V2)</f>
        <v>1.1725786449236988</v>
      </c>
      <c r="X10" s="404">
        <f>IF(X2="","",$G$10*(1+('5'!$I$22/100))^W2)</f>
        <v>1.1843044313729358</v>
      </c>
      <c r="Y10" s="404">
        <f>IF(Y2="","",$G$10*(1+('5'!$I$22/100))^X2)</f>
        <v>1.1961474756866652</v>
      </c>
      <c r="Z10" s="404">
        <f>IF(Z2="","",$G$10*(1+('5'!$I$22/100))^Y2)</f>
        <v>1.2081089504435316</v>
      </c>
    </row>
    <row r="11" spans="2:26" x14ac:dyDescent="0.25">
      <c r="B11" s="791" t="s">
        <v>659</v>
      </c>
      <c r="C11" s="792"/>
      <c r="D11" s="792"/>
      <c r="E11" s="792"/>
      <c r="F11" s="793"/>
      <c r="G11" s="404">
        <v>1</v>
      </c>
      <c r="H11" s="404">
        <f>IF(H2="","",$G$10*(1+('5'!$I$20/100))^G2)</f>
        <v>1.01</v>
      </c>
      <c r="I11" s="404">
        <f>IF(I2="","",$G$10*(1+('5'!$I$20/100))^H2)</f>
        <v>1.0201</v>
      </c>
      <c r="J11" s="404">
        <f>IF(J2="","",$G$10*(1+('5'!$I$20/100))^I2)</f>
        <v>1.0303009999999999</v>
      </c>
      <c r="K11" s="404">
        <f>IF(K2="","",$G$10*(1+('5'!$I$20/100))^J2)</f>
        <v>1.04060401</v>
      </c>
      <c r="L11" s="404">
        <f>IF(L2="","",$G$10*(1+('5'!$I$20/100))^K2)</f>
        <v>1.0510100500999999</v>
      </c>
      <c r="M11" s="404">
        <f>IF(M2="","",$G$10*(1+('5'!$I$20/100))^L2)</f>
        <v>1.0615201506010001</v>
      </c>
      <c r="N11" s="404">
        <f>IF(N2="","",$G$10*(1+('5'!$I$20/100))^M2)</f>
        <v>1.0721353521070098</v>
      </c>
      <c r="O11" s="404">
        <f>IF(O2="","",$G$10*(1+('5'!$I$20/100))^N2)</f>
        <v>1.0828567056280802</v>
      </c>
      <c r="P11" s="404">
        <f>IF(P2="","",$G$10*(1+('5'!$I$20/100))^O2)</f>
        <v>1.0936852726843611</v>
      </c>
      <c r="Q11" s="404">
        <f>IF(Q2="","",$G$10*(1+('5'!$I$20/100))^P2)</f>
        <v>1.1046221254112047</v>
      </c>
      <c r="R11" s="404">
        <f>IF(R2="","",$G$10*(1+('5'!$I$20/100))^Q2)</f>
        <v>1.1156683466653166</v>
      </c>
      <c r="S11" s="404">
        <f>IF(S2="","",$G$10*(1+('5'!$I$20/100))^R2)</f>
        <v>1.1268250301319698</v>
      </c>
      <c r="T11" s="404">
        <f>IF(T2="","",$G$10*(1+('5'!$I$20/100))^S2)</f>
        <v>1.1380932804332895</v>
      </c>
      <c r="U11" s="404">
        <f>IF(U2="","",$G$10*(1+('5'!$I$20/100))^T2)</f>
        <v>1.1494742132376226</v>
      </c>
      <c r="V11" s="404">
        <f>IF(V2="","",$G$10*(1+('5'!$I$20/100))^U2)</f>
        <v>1.1609689553699984</v>
      </c>
      <c r="W11" s="404">
        <f>IF(W2="","",$G$10*(1+('5'!$I$20/100))^V2)</f>
        <v>1.1725786449236988</v>
      </c>
      <c r="X11" s="404">
        <f>IF(X2="","",$G$10*(1+('5'!$I$20/100))^W2)</f>
        <v>1.1843044313729358</v>
      </c>
      <c r="Y11" s="404">
        <f>IF(Y2="","",$G$10*(1+('5'!$I$20/100))^X2)</f>
        <v>1.1961474756866652</v>
      </c>
      <c r="Z11" s="404">
        <f>IF(Z2="","",$G$10*(1+('5'!$I$20/100))^Y2)</f>
        <v>1.2081089504435316</v>
      </c>
    </row>
    <row r="12" spans="2:26" x14ac:dyDescent="0.25">
      <c r="B12" s="426"/>
      <c r="C12" s="426"/>
      <c r="D12" s="426"/>
      <c r="E12" s="426"/>
      <c r="F12" s="427"/>
    </row>
    <row r="13" spans="2:26" x14ac:dyDescent="0.25">
      <c r="B13" s="795" t="s">
        <v>660</v>
      </c>
      <c r="C13" s="795"/>
      <c r="D13" s="795"/>
      <c r="E13" s="795"/>
      <c r="F13" s="795"/>
      <c r="G13" s="353" t="e">
        <f t="shared" ref="G13:Z13" si="1">IF(G2="","",G7*G10)</f>
        <v>#DIV/0!</v>
      </c>
      <c r="H13" s="353" t="e">
        <f t="shared" si="1"/>
        <v>#DIV/0!</v>
      </c>
      <c r="I13" s="353" t="e">
        <f t="shared" si="1"/>
        <v>#DIV/0!</v>
      </c>
      <c r="J13" s="353" t="e">
        <f t="shared" si="1"/>
        <v>#DIV/0!</v>
      </c>
      <c r="K13" s="353" t="e">
        <f t="shared" si="1"/>
        <v>#DIV/0!</v>
      </c>
      <c r="L13" s="353" t="e">
        <f t="shared" si="1"/>
        <v>#DIV/0!</v>
      </c>
      <c r="M13" s="353" t="e">
        <f t="shared" si="1"/>
        <v>#DIV/0!</v>
      </c>
      <c r="N13" s="353" t="e">
        <f t="shared" si="1"/>
        <v>#DIV/0!</v>
      </c>
      <c r="O13" s="353" t="e">
        <f t="shared" si="1"/>
        <v>#DIV/0!</v>
      </c>
      <c r="P13" s="353" t="e">
        <f t="shared" si="1"/>
        <v>#DIV/0!</v>
      </c>
      <c r="Q13" s="353" t="e">
        <f t="shared" si="1"/>
        <v>#DIV/0!</v>
      </c>
      <c r="R13" s="353" t="e">
        <f t="shared" si="1"/>
        <v>#DIV/0!</v>
      </c>
      <c r="S13" s="353" t="e">
        <f t="shared" si="1"/>
        <v>#DIV/0!</v>
      </c>
      <c r="T13" s="353" t="e">
        <f t="shared" si="1"/>
        <v>#DIV/0!</v>
      </c>
      <c r="U13" s="353" t="e">
        <f t="shared" si="1"/>
        <v>#DIV/0!</v>
      </c>
      <c r="V13" s="353" t="e">
        <f t="shared" si="1"/>
        <v>#DIV/0!</v>
      </c>
      <c r="W13" s="353" t="e">
        <f t="shared" si="1"/>
        <v>#DIV/0!</v>
      </c>
      <c r="X13" s="353" t="e">
        <f t="shared" si="1"/>
        <v>#DIV/0!</v>
      </c>
      <c r="Y13" s="353" t="e">
        <f t="shared" si="1"/>
        <v>#DIV/0!</v>
      </c>
      <c r="Z13" s="353" t="e">
        <f t="shared" si="1"/>
        <v>#DIV/0!</v>
      </c>
    </row>
    <row r="14" spans="2:26" x14ac:dyDescent="0.25">
      <c r="B14" s="795" t="s">
        <v>661</v>
      </c>
      <c r="C14" s="795"/>
      <c r="D14" s="795"/>
      <c r="E14" s="795"/>
      <c r="F14" s="795"/>
      <c r="G14" s="353">
        <f t="shared" ref="G14:Z14" si="2">IF(G2="","",G8*G11)</f>
        <v>0</v>
      </c>
      <c r="H14" s="353">
        <f t="shared" si="2"/>
        <v>0</v>
      </c>
      <c r="I14" s="353">
        <f t="shared" si="2"/>
        <v>0</v>
      </c>
      <c r="J14" s="353">
        <f t="shared" si="2"/>
        <v>0</v>
      </c>
      <c r="K14" s="353">
        <f t="shared" si="2"/>
        <v>0</v>
      </c>
      <c r="L14" s="353">
        <f t="shared" si="2"/>
        <v>0</v>
      </c>
      <c r="M14" s="353">
        <f t="shared" si="2"/>
        <v>0</v>
      </c>
      <c r="N14" s="353">
        <f t="shared" si="2"/>
        <v>0</v>
      </c>
      <c r="O14" s="353">
        <f t="shared" si="2"/>
        <v>0</v>
      </c>
      <c r="P14" s="353">
        <f t="shared" si="2"/>
        <v>0</v>
      </c>
      <c r="Q14" s="353">
        <f t="shared" si="2"/>
        <v>0</v>
      </c>
      <c r="R14" s="353">
        <f t="shared" si="2"/>
        <v>0</v>
      </c>
      <c r="S14" s="353">
        <f t="shared" si="2"/>
        <v>0</v>
      </c>
      <c r="T14" s="353">
        <f t="shared" si="2"/>
        <v>0</v>
      </c>
      <c r="U14" s="353">
        <f t="shared" si="2"/>
        <v>0</v>
      </c>
      <c r="V14" s="353">
        <f t="shared" si="2"/>
        <v>0</v>
      </c>
      <c r="W14" s="353">
        <f t="shared" si="2"/>
        <v>0</v>
      </c>
      <c r="X14" s="353">
        <f t="shared" si="2"/>
        <v>0</v>
      </c>
      <c r="Y14" s="353">
        <f t="shared" si="2"/>
        <v>0</v>
      </c>
      <c r="Z14" s="353">
        <f t="shared" si="2"/>
        <v>0</v>
      </c>
    </row>
    <row r="15" spans="2:26" x14ac:dyDescent="0.25">
      <c r="B15" s="796" t="s">
        <v>662</v>
      </c>
      <c r="C15" s="796"/>
      <c r="D15" s="796"/>
      <c r="E15" s="796"/>
      <c r="F15" s="796"/>
      <c r="G15" s="389" t="e">
        <f t="shared" ref="G15:Z15" si="3">IF(G2="","",G13+G14)</f>
        <v>#DIV/0!</v>
      </c>
      <c r="H15" s="389" t="e">
        <f t="shared" si="3"/>
        <v>#DIV/0!</v>
      </c>
      <c r="I15" s="389" t="e">
        <f t="shared" si="3"/>
        <v>#DIV/0!</v>
      </c>
      <c r="J15" s="389" t="e">
        <f t="shared" si="3"/>
        <v>#DIV/0!</v>
      </c>
      <c r="K15" s="389" t="e">
        <f t="shared" si="3"/>
        <v>#DIV/0!</v>
      </c>
      <c r="L15" s="389" t="e">
        <f t="shared" si="3"/>
        <v>#DIV/0!</v>
      </c>
      <c r="M15" s="389" t="e">
        <f t="shared" si="3"/>
        <v>#DIV/0!</v>
      </c>
      <c r="N15" s="389" t="e">
        <f t="shared" si="3"/>
        <v>#DIV/0!</v>
      </c>
      <c r="O15" s="389" t="e">
        <f t="shared" si="3"/>
        <v>#DIV/0!</v>
      </c>
      <c r="P15" s="389" t="e">
        <f t="shared" si="3"/>
        <v>#DIV/0!</v>
      </c>
      <c r="Q15" s="389" t="e">
        <f t="shared" si="3"/>
        <v>#DIV/0!</v>
      </c>
      <c r="R15" s="389" t="e">
        <f t="shared" si="3"/>
        <v>#DIV/0!</v>
      </c>
      <c r="S15" s="389" t="e">
        <f t="shared" si="3"/>
        <v>#DIV/0!</v>
      </c>
      <c r="T15" s="389" t="e">
        <f t="shared" si="3"/>
        <v>#DIV/0!</v>
      </c>
      <c r="U15" s="389" t="e">
        <f t="shared" si="3"/>
        <v>#DIV/0!</v>
      </c>
      <c r="V15" s="389" t="e">
        <f t="shared" si="3"/>
        <v>#DIV/0!</v>
      </c>
      <c r="W15" s="389" t="e">
        <f t="shared" si="3"/>
        <v>#DIV/0!</v>
      </c>
      <c r="X15" s="389" t="e">
        <f t="shared" si="3"/>
        <v>#DIV/0!</v>
      </c>
      <c r="Y15" s="389" t="e">
        <f t="shared" si="3"/>
        <v>#DIV/0!</v>
      </c>
      <c r="Z15" s="389" t="e">
        <f t="shared" si="3"/>
        <v>#DIV/0!</v>
      </c>
    </row>
    <row r="16" spans="2:26" x14ac:dyDescent="0.25">
      <c r="B16" s="426"/>
      <c r="C16" s="426"/>
      <c r="D16" s="426"/>
      <c r="E16" s="426"/>
      <c r="F16" s="427"/>
      <c r="G16" s="388"/>
      <c r="H16" s="388"/>
      <c r="I16" s="388"/>
      <c r="J16" s="388"/>
      <c r="K16" s="388"/>
      <c r="L16" s="388"/>
      <c r="M16" s="388"/>
      <c r="N16" s="388"/>
      <c r="O16" s="388"/>
      <c r="P16" s="388"/>
      <c r="Q16" s="388"/>
      <c r="R16" s="388"/>
      <c r="S16" s="388"/>
      <c r="T16" s="388"/>
      <c r="U16" s="388"/>
      <c r="V16" s="388"/>
      <c r="W16" s="388"/>
      <c r="X16" s="388"/>
      <c r="Y16" s="388"/>
      <c r="Z16" s="388"/>
    </row>
    <row r="17" spans="2:26" x14ac:dyDescent="0.25">
      <c r="B17" s="796" t="s">
        <v>1822</v>
      </c>
      <c r="C17" s="796"/>
      <c r="D17" s="796"/>
      <c r="E17" s="796"/>
      <c r="F17" s="796"/>
      <c r="G17" s="389">
        <f>'F-Calc Mortgage loan'!E6</f>
        <v>0</v>
      </c>
    </row>
    <row r="20" spans="2:26" ht="21.75" customHeight="1" x14ac:dyDescent="0.25">
      <c r="B20" s="387" t="s">
        <v>665</v>
      </c>
      <c r="C20" s="387" t="s">
        <v>666</v>
      </c>
      <c r="D20" s="387" t="s">
        <v>663</v>
      </c>
      <c r="E20" s="387" t="s">
        <v>664</v>
      </c>
      <c r="F20" s="387" t="s">
        <v>667</v>
      </c>
      <c r="G20" s="794" t="s">
        <v>668</v>
      </c>
      <c r="H20" s="794"/>
      <c r="I20" s="794"/>
      <c r="J20" s="794"/>
      <c r="K20" s="794"/>
      <c r="L20" s="794"/>
      <c r="M20" s="794"/>
      <c r="N20" s="794"/>
      <c r="O20" s="794"/>
      <c r="P20" s="794"/>
      <c r="Q20" s="794"/>
      <c r="R20" s="794"/>
      <c r="S20" s="794"/>
      <c r="T20" s="794"/>
      <c r="U20" s="794"/>
      <c r="V20" s="794"/>
      <c r="W20" s="794"/>
      <c r="X20" s="794"/>
      <c r="Y20" s="794"/>
      <c r="Z20" s="794"/>
    </row>
    <row r="21" spans="2:26" x14ac:dyDescent="0.25">
      <c r="B21" s="402" t="e">
        <f>IRR(F21:Z21,'5'!$I$26/100)</f>
        <v>#VALUE!</v>
      </c>
      <c r="C21" s="406">
        <f>-G17</f>
        <v>0</v>
      </c>
      <c r="D21" s="402">
        <v>0</v>
      </c>
      <c r="E21" s="353">
        <v>0</v>
      </c>
      <c r="F21" s="353">
        <f t="shared" ref="F21:F52" si="4">$C$21+E21</f>
        <v>0</v>
      </c>
      <c r="G21" s="403" t="e">
        <f>IF(G2="",0,'F-Calc Subsidy'!G$15)</f>
        <v>#DIV/0!</v>
      </c>
      <c r="H21" s="403" t="e">
        <f>IF(H2="",0,'F-Calc Subsidy'!H$15)</f>
        <v>#DIV/0!</v>
      </c>
      <c r="I21" s="403" t="e">
        <f>IF(I2="",0,'F-Calc Subsidy'!I$15)</f>
        <v>#DIV/0!</v>
      </c>
      <c r="J21" s="403" t="e">
        <f>IF(J2="",0,'F-Calc Subsidy'!J$15)</f>
        <v>#DIV/0!</v>
      </c>
      <c r="K21" s="403" t="e">
        <f>IF(K2="",0,'F-Calc Subsidy'!K$15)</f>
        <v>#DIV/0!</v>
      </c>
      <c r="L21" s="403" t="e">
        <f>IF(L2="",0,'F-Calc Subsidy'!L$15)</f>
        <v>#DIV/0!</v>
      </c>
      <c r="M21" s="403" t="e">
        <f>IF(M2="",0,'F-Calc Subsidy'!M$15)</f>
        <v>#DIV/0!</v>
      </c>
      <c r="N21" s="403" t="e">
        <f>IF(N2="",0,'F-Calc Subsidy'!N$15)</f>
        <v>#DIV/0!</v>
      </c>
      <c r="O21" s="403" t="e">
        <f>IF(O2="",0,'F-Calc Subsidy'!O$15)</f>
        <v>#DIV/0!</v>
      </c>
      <c r="P21" s="403" t="e">
        <f>IF(P2="",0,'F-Calc Subsidy'!P$15)</f>
        <v>#DIV/0!</v>
      </c>
      <c r="Q21" s="403" t="e">
        <f>IF(Q2="",0,'F-Calc Subsidy'!Q$15)</f>
        <v>#DIV/0!</v>
      </c>
      <c r="R21" s="403" t="e">
        <f>IF(R2="",0,'F-Calc Subsidy'!R$15)</f>
        <v>#DIV/0!</v>
      </c>
      <c r="S21" s="403" t="e">
        <f>IF(S2="",0,'F-Calc Subsidy'!S$15)</f>
        <v>#DIV/0!</v>
      </c>
      <c r="T21" s="403" t="e">
        <f>IF(T2="",0,'F-Calc Subsidy'!T$15)</f>
        <v>#DIV/0!</v>
      </c>
      <c r="U21" s="403" t="e">
        <f>IF(U2="",0,'F-Calc Subsidy'!U$15)</f>
        <v>#DIV/0!</v>
      </c>
      <c r="V21" s="403" t="e">
        <f>IF(V2="",0,'F-Calc Subsidy'!V$15)</f>
        <v>#DIV/0!</v>
      </c>
      <c r="W21" s="403" t="e">
        <f>IF(W2="",0,'F-Calc Subsidy'!W$15)</f>
        <v>#DIV/0!</v>
      </c>
      <c r="X21" s="403" t="e">
        <f>IF(X2="",0,'F-Calc Subsidy'!X$15)</f>
        <v>#DIV/0!</v>
      </c>
      <c r="Y21" s="403" t="e">
        <f>IF(Y2="",0,'F-Calc Subsidy'!Y$15)</f>
        <v>#DIV/0!</v>
      </c>
      <c r="Z21" s="403" t="e">
        <f>IF(Z2="",0,'F-Calc Subsidy'!Z$15)</f>
        <v>#DIV/0!</v>
      </c>
    </row>
    <row r="22" spans="2:26" x14ac:dyDescent="0.25">
      <c r="B22" s="402" t="e">
        <f>IRR(F22:Z22,'5'!$I$26/100)</f>
        <v>#VALUE!</v>
      </c>
      <c r="C22" s="484">
        <f>E23</f>
        <v>0</v>
      </c>
      <c r="D22" s="402">
        <v>0.01</v>
      </c>
      <c r="E22" s="353">
        <f t="shared" ref="E22:E53" si="5">-$C$21*D22</f>
        <v>0</v>
      </c>
      <c r="F22" s="353">
        <f t="shared" si="4"/>
        <v>0</v>
      </c>
      <c r="G22" s="403" t="e">
        <f>IF(G21="","",G21)</f>
        <v>#DIV/0!</v>
      </c>
      <c r="H22" s="403" t="e">
        <f t="shared" ref="H22:Z22" si="6">IF(H21="","",H21)</f>
        <v>#DIV/0!</v>
      </c>
      <c r="I22" s="403" t="e">
        <f t="shared" si="6"/>
        <v>#DIV/0!</v>
      </c>
      <c r="J22" s="403" t="e">
        <f t="shared" si="6"/>
        <v>#DIV/0!</v>
      </c>
      <c r="K22" s="403" t="e">
        <f t="shared" si="6"/>
        <v>#DIV/0!</v>
      </c>
      <c r="L22" s="403" t="e">
        <f t="shared" si="6"/>
        <v>#DIV/0!</v>
      </c>
      <c r="M22" s="403" t="e">
        <f t="shared" si="6"/>
        <v>#DIV/0!</v>
      </c>
      <c r="N22" s="403" t="e">
        <f t="shared" si="6"/>
        <v>#DIV/0!</v>
      </c>
      <c r="O22" s="403" t="e">
        <f t="shared" si="6"/>
        <v>#DIV/0!</v>
      </c>
      <c r="P22" s="403" t="e">
        <f t="shared" si="6"/>
        <v>#DIV/0!</v>
      </c>
      <c r="Q22" s="403" t="e">
        <f t="shared" si="6"/>
        <v>#DIV/0!</v>
      </c>
      <c r="R22" s="403" t="e">
        <f t="shared" si="6"/>
        <v>#DIV/0!</v>
      </c>
      <c r="S22" s="403" t="e">
        <f t="shared" si="6"/>
        <v>#DIV/0!</v>
      </c>
      <c r="T22" s="403" t="e">
        <f t="shared" si="6"/>
        <v>#DIV/0!</v>
      </c>
      <c r="U22" s="403" t="e">
        <f t="shared" si="6"/>
        <v>#DIV/0!</v>
      </c>
      <c r="V22" s="403" t="e">
        <f t="shared" si="6"/>
        <v>#DIV/0!</v>
      </c>
      <c r="W22" s="403" t="e">
        <f t="shared" si="6"/>
        <v>#DIV/0!</v>
      </c>
      <c r="X22" s="403" t="e">
        <f t="shared" si="6"/>
        <v>#DIV/0!</v>
      </c>
      <c r="Y22" s="403" t="e">
        <f t="shared" si="6"/>
        <v>#DIV/0!</v>
      </c>
      <c r="Z22" s="403" t="e">
        <f t="shared" si="6"/>
        <v>#DIV/0!</v>
      </c>
    </row>
    <row r="23" spans="2:26" x14ac:dyDescent="0.25">
      <c r="B23" s="402" t="e">
        <f>IRR(F23:Z23,'5'!$I$26/100)</f>
        <v>#VALUE!</v>
      </c>
      <c r="C23" s="484">
        <f t="shared" ref="C23:C86" si="7">E24</f>
        <v>0</v>
      </c>
      <c r="D23" s="402">
        <v>0.02</v>
      </c>
      <c r="E23" s="353">
        <f t="shared" si="5"/>
        <v>0</v>
      </c>
      <c r="F23" s="353">
        <f t="shared" si="4"/>
        <v>0</v>
      </c>
      <c r="G23" s="403" t="e">
        <f t="shared" ref="G23:G86" si="8">IF(G22="","",G22)</f>
        <v>#DIV/0!</v>
      </c>
      <c r="H23" s="403" t="e">
        <f t="shared" ref="H23:H86" si="9">IF(H22="","",H22)</f>
        <v>#DIV/0!</v>
      </c>
      <c r="I23" s="403" t="e">
        <f t="shared" ref="I23:I86" si="10">IF(I22="","",I22)</f>
        <v>#DIV/0!</v>
      </c>
      <c r="J23" s="403" t="e">
        <f t="shared" ref="J23:J86" si="11">IF(J22="","",J22)</f>
        <v>#DIV/0!</v>
      </c>
      <c r="K23" s="403" t="e">
        <f t="shared" ref="K23:K86" si="12">IF(K22="","",K22)</f>
        <v>#DIV/0!</v>
      </c>
      <c r="L23" s="403" t="e">
        <f t="shared" ref="L23:L86" si="13">IF(L22="","",L22)</f>
        <v>#DIV/0!</v>
      </c>
      <c r="M23" s="403" t="e">
        <f t="shared" ref="M23:M86" si="14">IF(M22="","",M22)</f>
        <v>#DIV/0!</v>
      </c>
      <c r="N23" s="403" t="e">
        <f t="shared" ref="N23:N86" si="15">IF(N22="","",N22)</f>
        <v>#DIV/0!</v>
      </c>
      <c r="O23" s="403" t="e">
        <f t="shared" ref="O23:O86" si="16">IF(O22="","",O22)</f>
        <v>#DIV/0!</v>
      </c>
      <c r="P23" s="403" t="e">
        <f t="shared" ref="P23:P86" si="17">IF(P22="","",P22)</f>
        <v>#DIV/0!</v>
      </c>
      <c r="Q23" s="403" t="e">
        <f t="shared" ref="Q23:Q86" si="18">IF(Q22="","",Q22)</f>
        <v>#DIV/0!</v>
      </c>
      <c r="R23" s="403" t="e">
        <f t="shared" ref="R23:R86" si="19">IF(R22="","",R22)</f>
        <v>#DIV/0!</v>
      </c>
      <c r="S23" s="403" t="e">
        <f t="shared" ref="S23:S86" si="20">IF(S22="","",S22)</f>
        <v>#DIV/0!</v>
      </c>
      <c r="T23" s="403" t="e">
        <f t="shared" ref="T23:T86" si="21">IF(T22="","",T22)</f>
        <v>#DIV/0!</v>
      </c>
      <c r="U23" s="403" t="e">
        <f t="shared" ref="U23:U86" si="22">IF(U22="","",U22)</f>
        <v>#DIV/0!</v>
      </c>
      <c r="V23" s="403" t="e">
        <f t="shared" ref="V23:V86" si="23">IF(V22="","",V22)</f>
        <v>#DIV/0!</v>
      </c>
      <c r="W23" s="403" t="e">
        <f t="shared" ref="W23:W86" si="24">IF(W22="","",W22)</f>
        <v>#DIV/0!</v>
      </c>
      <c r="X23" s="403" t="e">
        <f t="shared" ref="X23:X86" si="25">IF(X22="","",X22)</f>
        <v>#DIV/0!</v>
      </c>
      <c r="Y23" s="403" t="e">
        <f t="shared" ref="Y23:Y86" si="26">IF(Y22="","",Y22)</f>
        <v>#DIV/0!</v>
      </c>
      <c r="Z23" s="403" t="e">
        <f t="shared" ref="Z23:Z86" si="27">IF(Z22="","",Z22)</f>
        <v>#DIV/0!</v>
      </c>
    </row>
    <row r="24" spans="2:26" x14ac:dyDescent="0.25">
      <c r="B24" s="402" t="e">
        <f>IRR(F24:Z24,'5'!$I$26/100)</f>
        <v>#VALUE!</v>
      </c>
      <c r="C24" s="484">
        <f t="shared" si="7"/>
        <v>0</v>
      </c>
      <c r="D24" s="402">
        <v>0.03</v>
      </c>
      <c r="E24" s="353">
        <f t="shared" si="5"/>
        <v>0</v>
      </c>
      <c r="F24" s="353">
        <f t="shared" si="4"/>
        <v>0</v>
      </c>
      <c r="G24" s="403" t="e">
        <f t="shared" si="8"/>
        <v>#DIV/0!</v>
      </c>
      <c r="H24" s="403" t="e">
        <f t="shared" si="9"/>
        <v>#DIV/0!</v>
      </c>
      <c r="I24" s="403" t="e">
        <f t="shared" si="10"/>
        <v>#DIV/0!</v>
      </c>
      <c r="J24" s="403" t="e">
        <f t="shared" si="11"/>
        <v>#DIV/0!</v>
      </c>
      <c r="K24" s="403" t="e">
        <f t="shared" si="12"/>
        <v>#DIV/0!</v>
      </c>
      <c r="L24" s="403" t="e">
        <f t="shared" si="13"/>
        <v>#DIV/0!</v>
      </c>
      <c r="M24" s="403" t="e">
        <f t="shared" si="14"/>
        <v>#DIV/0!</v>
      </c>
      <c r="N24" s="403" t="e">
        <f t="shared" si="15"/>
        <v>#DIV/0!</v>
      </c>
      <c r="O24" s="403" t="e">
        <f t="shared" si="16"/>
        <v>#DIV/0!</v>
      </c>
      <c r="P24" s="403" t="e">
        <f t="shared" si="17"/>
        <v>#DIV/0!</v>
      </c>
      <c r="Q24" s="403" t="e">
        <f t="shared" si="18"/>
        <v>#DIV/0!</v>
      </c>
      <c r="R24" s="403" t="e">
        <f t="shared" si="19"/>
        <v>#DIV/0!</v>
      </c>
      <c r="S24" s="403" t="e">
        <f t="shared" si="20"/>
        <v>#DIV/0!</v>
      </c>
      <c r="T24" s="403" t="e">
        <f t="shared" si="21"/>
        <v>#DIV/0!</v>
      </c>
      <c r="U24" s="403" t="e">
        <f t="shared" si="22"/>
        <v>#DIV/0!</v>
      </c>
      <c r="V24" s="403" t="e">
        <f t="shared" si="23"/>
        <v>#DIV/0!</v>
      </c>
      <c r="W24" s="403" t="e">
        <f t="shared" si="24"/>
        <v>#DIV/0!</v>
      </c>
      <c r="X24" s="403" t="e">
        <f t="shared" si="25"/>
        <v>#DIV/0!</v>
      </c>
      <c r="Y24" s="403" t="e">
        <f t="shared" si="26"/>
        <v>#DIV/0!</v>
      </c>
      <c r="Z24" s="403" t="e">
        <f t="shared" si="27"/>
        <v>#DIV/0!</v>
      </c>
    </row>
    <row r="25" spans="2:26" x14ac:dyDescent="0.25">
      <c r="B25" s="402" t="e">
        <f>IRR(F25:Z25,'5'!$I$26/100)</f>
        <v>#VALUE!</v>
      </c>
      <c r="C25" s="484">
        <f t="shared" si="7"/>
        <v>0</v>
      </c>
      <c r="D25" s="402">
        <v>0.04</v>
      </c>
      <c r="E25" s="353">
        <f t="shared" si="5"/>
        <v>0</v>
      </c>
      <c r="F25" s="353">
        <f t="shared" si="4"/>
        <v>0</v>
      </c>
      <c r="G25" s="403" t="e">
        <f t="shared" si="8"/>
        <v>#DIV/0!</v>
      </c>
      <c r="H25" s="403" t="e">
        <f t="shared" si="9"/>
        <v>#DIV/0!</v>
      </c>
      <c r="I25" s="403" t="e">
        <f t="shared" si="10"/>
        <v>#DIV/0!</v>
      </c>
      <c r="J25" s="403" t="e">
        <f t="shared" si="11"/>
        <v>#DIV/0!</v>
      </c>
      <c r="K25" s="403" t="e">
        <f t="shared" si="12"/>
        <v>#DIV/0!</v>
      </c>
      <c r="L25" s="403" t="e">
        <f t="shared" si="13"/>
        <v>#DIV/0!</v>
      </c>
      <c r="M25" s="403" t="e">
        <f t="shared" si="14"/>
        <v>#DIV/0!</v>
      </c>
      <c r="N25" s="403" t="e">
        <f t="shared" si="15"/>
        <v>#DIV/0!</v>
      </c>
      <c r="O25" s="403" t="e">
        <f t="shared" si="16"/>
        <v>#DIV/0!</v>
      </c>
      <c r="P25" s="403" t="e">
        <f t="shared" si="17"/>
        <v>#DIV/0!</v>
      </c>
      <c r="Q25" s="403" t="e">
        <f t="shared" si="18"/>
        <v>#DIV/0!</v>
      </c>
      <c r="R25" s="403" t="e">
        <f t="shared" si="19"/>
        <v>#DIV/0!</v>
      </c>
      <c r="S25" s="403" t="e">
        <f t="shared" si="20"/>
        <v>#DIV/0!</v>
      </c>
      <c r="T25" s="403" t="e">
        <f t="shared" si="21"/>
        <v>#DIV/0!</v>
      </c>
      <c r="U25" s="403" t="e">
        <f t="shared" si="22"/>
        <v>#DIV/0!</v>
      </c>
      <c r="V25" s="403" t="e">
        <f t="shared" si="23"/>
        <v>#DIV/0!</v>
      </c>
      <c r="W25" s="403" t="e">
        <f t="shared" si="24"/>
        <v>#DIV/0!</v>
      </c>
      <c r="X25" s="403" t="e">
        <f t="shared" si="25"/>
        <v>#DIV/0!</v>
      </c>
      <c r="Y25" s="403" t="e">
        <f t="shared" si="26"/>
        <v>#DIV/0!</v>
      </c>
      <c r="Z25" s="403" t="e">
        <f t="shared" si="27"/>
        <v>#DIV/0!</v>
      </c>
    </row>
    <row r="26" spans="2:26" x14ac:dyDescent="0.25">
      <c r="B26" s="402" t="e">
        <f>IRR(F26:Z26,'5'!$I$26/100)</f>
        <v>#VALUE!</v>
      </c>
      <c r="C26" s="484">
        <f t="shared" si="7"/>
        <v>0</v>
      </c>
      <c r="D26" s="402">
        <v>0.05</v>
      </c>
      <c r="E26" s="353">
        <f t="shared" si="5"/>
        <v>0</v>
      </c>
      <c r="F26" s="353">
        <f t="shared" si="4"/>
        <v>0</v>
      </c>
      <c r="G26" s="403" t="e">
        <f t="shared" si="8"/>
        <v>#DIV/0!</v>
      </c>
      <c r="H26" s="403" t="e">
        <f t="shared" si="9"/>
        <v>#DIV/0!</v>
      </c>
      <c r="I26" s="403" t="e">
        <f t="shared" si="10"/>
        <v>#DIV/0!</v>
      </c>
      <c r="J26" s="403" t="e">
        <f t="shared" si="11"/>
        <v>#DIV/0!</v>
      </c>
      <c r="K26" s="403" t="e">
        <f t="shared" si="12"/>
        <v>#DIV/0!</v>
      </c>
      <c r="L26" s="403" t="e">
        <f t="shared" si="13"/>
        <v>#DIV/0!</v>
      </c>
      <c r="M26" s="403" t="e">
        <f t="shared" si="14"/>
        <v>#DIV/0!</v>
      </c>
      <c r="N26" s="403" t="e">
        <f t="shared" si="15"/>
        <v>#DIV/0!</v>
      </c>
      <c r="O26" s="403" t="e">
        <f t="shared" si="16"/>
        <v>#DIV/0!</v>
      </c>
      <c r="P26" s="403" t="e">
        <f t="shared" si="17"/>
        <v>#DIV/0!</v>
      </c>
      <c r="Q26" s="403" t="e">
        <f t="shared" si="18"/>
        <v>#DIV/0!</v>
      </c>
      <c r="R26" s="403" t="e">
        <f t="shared" si="19"/>
        <v>#DIV/0!</v>
      </c>
      <c r="S26" s="403" t="e">
        <f t="shared" si="20"/>
        <v>#DIV/0!</v>
      </c>
      <c r="T26" s="403" t="e">
        <f t="shared" si="21"/>
        <v>#DIV/0!</v>
      </c>
      <c r="U26" s="403" t="e">
        <f t="shared" si="22"/>
        <v>#DIV/0!</v>
      </c>
      <c r="V26" s="403" t="e">
        <f t="shared" si="23"/>
        <v>#DIV/0!</v>
      </c>
      <c r="W26" s="403" t="e">
        <f t="shared" si="24"/>
        <v>#DIV/0!</v>
      </c>
      <c r="X26" s="403" t="e">
        <f t="shared" si="25"/>
        <v>#DIV/0!</v>
      </c>
      <c r="Y26" s="403" t="e">
        <f t="shared" si="26"/>
        <v>#DIV/0!</v>
      </c>
      <c r="Z26" s="403" t="e">
        <f t="shared" si="27"/>
        <v>#DIV/0!</v>
      </c>
    </row>
    <row r="27" spans="2:26" x14ac:dyDescent="0.25">
      <c r="B27" s="402" t="e">
        <f>IRR(F27:Z27,'5'!$I$26/100)</f>
        <v>#VALUE!</v>
      </c>
      <c r="C27" s="484">
        <f t="shared" si="7"/>
        <v>0</v>
      </c>
      <c r="D27" s="402">
        <v>0.06</v>
      </c>
      <c r="E27" s="353">
        <f t="shared" si="5"/>
        <v>0</v>
      </c>
      <c r="F27" s="353">
        <f t="shared" si="4"/>
        <v>0</v>
      </c>
      <c r="G27" s="403" t="e">
        <f t="shared" si="8"/>
        <v>#DIV/0!</v>
      </c>
      <c r="H27" s="403" t="e">
        <f t="shared" si="9"/>
        <v>#DIV/0!</v>
      </c>
      <c r="I27" s="403" t="e">
        <f t="shared" si="10"/>
        <v>#DIV/0!</v>
      </c>
      <c r="J27" s="403" t="e">
        <f t="shared" si="11"/>
        <v>#DIV/0!</v>
      </c>
      <c r="K27" s="403" t="e">
        <f t="shared" si="12"/>
        <v>#DIV/0!</v>
      </c>
      <c r="L27" s="403" t="e">
        <f t="shared" si="13"/>
        <v>#DIV/0!</v>
      </c>
      <c r="M27" s="403" t="e">
        <f t="shared" si="14"/>
        <v>#DIV/0!</v>
      </c>
      <c r="N27" s="403" t="e">
        <f t="shared" si="15"/>
        <v>#DIV/0!</v>
      </c>
      <c r="O27" s="403" t="e">
        <f t="shared" si="16"/>
        <v>#DIV/0!</v>
      </c>
      <c r="P27" s="403" t="e">
        <f t="shared" si="17"/>
        <v>#DIV/0!</v>
      </c>
      <c r="Q27" s="403" t="e">
        <f t="shared" si="18"/>
        <v>#DIV/0!</v>
      </c>
      <c r="R27" s="403" t="e">
        <f t="shared" si="19"/>
        <v>#DIV/0!</v>
      </c>
      <c r="S27" s="403" t="e">
        <f t="shared" si="20"/>
        <v>#DIV/0!</v>
      </c>
      <c r="T27" s="403" t="e">
        <f t="shared" si="21"/>
        <v>#DIV/0!</v>
      </c>
      <c r="U27" s="403" t="e">
        <f t="shared" si="22"/>
        <v>#DIV/0!</v>
      </c>
      <c r="V27" s="403" t="e">
        <f t="shared" si="23"/>
        <v>#DIV/0!</v>
      </c>
      <c r="W27" s="403" t="e">
        <f t="shared" si="24"/>
        <v>#DIV/0!</v>
      </c>
      <c r="X27" s="403" t="e">
        <f t="shared" si="25"/>
        <v>#DIV/0!</v>
      </c>
      <c r="Y27" s="403" t="e">
        <f t="shared" si="26"/>
        <v>#DIV/0!</v>
      </c>
      <c r="Z27" s="403" t="e">
        <f t="shared" si="27"/>
        <v>#DIV/0!</v>
      </c>
    </row>
    <row r="28" spans="2:26" x14ac:dyDescent="0.25">
      <c r="B28" s="402" t="e">
        <f>IRR(F28:Z28,'5'!$I$26/100)</f>
        <v>#VALUE!</v>
      </c>
      <c r="C28" s="484">
        <f t="shared" si="7"/>
        <v>0</v>
      </c>
      <c r="D28" s="402">
        <v>7.0000000000000007E-2</v>
      </c>
      <c r="E28" s="353">
        <f t="shared" si="5"/>
        <v>0</v>
      </c>
      <c r="F28" s="353">
        <f t="shared" si="4"/>
        <v>0</v>
      </c>
      <c r="G28" s="403" t="e">
        <f t="shared" si="8"/>
        <v>#DIV/0!</v>
      </c>
      <c r="H28" s="403" t="e">
        <f t="shared" si="9"/>
        <v>#DIV/0!</v>
      </c>
      <c r="I28" s="403" t="e">
        <f t="shared" si="10"/>
        <v>#DIV/0!</v>
      </c>
      <c r="J28" s="403" t="e">
        <f t="shared" si="11"/>
        <v>#DIV/0!</v>
      </c>
      <c r="K28" s="403" t="e">
        <f t="shared" si="12"/>
        <v>#DIV/0!</v>
      </c>
      <c r="L28" s="403" t="e">
        <f t="shared" si="13"/>
        <v>#DIV/0!</v>
      </c>
      <c r="M28" s="403" t="e">
        <f t="shared" si="14"/>
        <v>#DIV/0!</v>
      </c>
      <c r="N28" s="403" t="e">
        <f t="shared" si="15"/>
        <v>#DIV/0!</v>
      </c>
      <c r="O28" s="403" t="e">
        <f t="shared" si="16"/>
        <v>#DIV/0!</v>
      </c>
      <c r="P28" s="403" t="e">
        <f t="shared" si="17"/>
        <v>#DIV/0!</v>
      </c>
      <c r="Q28" s="403" t="e">
        <f t="shared" si="18"/>
        <v>#DIV/0!</v>
      </c>
      <c r="R28" s="403" t="e">
        <f t="shared" si="19"/>
        <v>#DIV/0!</v>
      </c>
      <c r="S28" s="403" t="e">
        <f t="shared" si="20"/>
        <v>#DIV/0!</v>
      </c>
      <c r="T28" s="403" t="e">
        <f t="shared" si="21"/>
        <v>#DIV/0!</v>
      </c>
      <c r="U28" s="403" t="e">
        <f t="shared" si="22"/>
        <v>#DIV/0!</v>
      </c>
      <c r="V28" s="403" t="e">
        <f t="shared" si="23"/>
        <v>#DIV/0!</v>
      </c>
      <c r="W28" s="403" t="e">
        <f t="shared" si="24"/>
        <v>#DIV/0!</v>
      </c>
      <c r="X28" s="403" t="e">
        <f t="shared" si="25"/>
        <v>#DIV/0!</v>
      </c>
      <c r="Y28" s="403" t="e">
        <f t="shared" si="26"/>
        <v>#DIV/0!</v>
      </c>
      <c r="Z28" s="403" t="e">
        <f t="shared" si="27"/>
        <v>#DIV/0!</v>
      </c>
    </row>
    <row r="29" spans="2:26" x14ac:dyDescent="0.25">
      <c r="B29" s="402" t="e">
        <f>IRR(F29:Z29,'5'!$I$26/100)</f>
        <v>#VALUE!</v>
      </c>
      <c r="C29" s="484">
        <f t="shared" si="7"/>
        <v>0</v>
      </c>
      <c r="D29" s="402">
        <v>0.08</v>
      </c>
      <c r="E29" s="353">
        <f t="shared" si="5"/>
        <v>0</v>
      </c>
      <c r="F29" s="353">
        <f t="shared" si="4"/>
        <v>0</v>
      </c>
      <c r="G29" s="403" t="e">
        <f t="shared" si="8"/>
        <v>#DIV/0!</v>
      </c>
      <c r="H29" s="403" t="e">
        <f t="shared" si="9"/>
        <v>#DIV/0!</v>
      </c>
      <c r="I29" s="403" t="e">
        <f t="shared" si="10"/>
        <v>#DIV/0!</v>
      </c>
      <c r="J29" s="403" t="e">
        <f t="shared" si="11"/>
        <v>#DIV/0!</v>
      </c>
      <c r="K29" s="403" t="e">
        <f t="shared" si="12"/>
        <v>#DIV/0!</v>
      </c>
      <c r="L29" s="403" t="e">
        <f t="shared" si="13"/>
        <v>#DIV/0!</v>
      </c>
      <c r="M29" s="403" t="e">
        <f t="shared" si="14"/>
        <v>#DIV/0!</v>
      </c>
      <c r="N29" s="403" t="e">
        <f t="shared" si="15"/>
        <v>#DIV/0!</v>
      </c>
      <c r="O29" s="403" t="e">
        <f t="shared" si="16"/>
        <v>#DIV/0!</v>
      </c>
      <c r="P29" s="403" t="e">
        <f t="shared" si="17"/>
        <v>#DIV/0!</v>
      </c>
      <c r="Q29" s="403" t="e">
        <f t="shared" si="18"/>
        <v>#DIV/0!</v>
      </c>
      <c r="R29" s="403" t="e">
        <f t="shared" si="19"/>
        <v>#DIV/0!</v>
      </c>
      <c r="S29" s="403" t="e">
        <f t="shared" si="20"/>
        <v>#DIV/0!</v>
      </c>
      <c r="T29" s="403" t="e">
        <f t="shared" si="21"/>
        <v>#DIV/0!</v>
      </c>
      <c r="U29" s="403" t="e">
        <f t="shared" si="22"/>
        <v>#DIV/0!</v>
      </c>
      <c r="V29" s="403" t="e">
        <f t="shared" si="23"/>
        <v>#DIV/0!</v>
      </c>
      <c r="W29" s="403" t="e">
        <f t="shared" si="24"/>
        <v>#DIV/0!</v>
      </c>
      <c r="X29" s="403" t="e">
        <f t="shared" si="25"/>
        <v>#DIV/0!</v>
      </c>
      <c r="Y29" s="403" t="e">
        <f t="shared" si="26"/>
        <v>#DIV/0!</v>
      </c>
      <c r="Z29" s="403" t="e">
        <f t="shared" si="27"/>
        <v>#DIV/0!</v>
      </c>
    </row>
    <row r="30" spans="2:26" x14ac:dyDescent="0.25">
      <c r="B30" s="402" t="e">
        <f>IRR(F30:Z30,'5'!$I$26/100)</f>
        <v>#VALUE!</v>
      </c>
      <c r="C30" s="484">
        <f t="shared" si="7"/>
        <v>0</v>
      </c>
      <c r="D30" s="402">
        <v>0.09</v>
      </c>
      <c r="E30" s="353">
        <f t="shared" si="5"/>
        <v>0</v>
      </c>
      <c r="F30" s="353">
        <f t="shared" si="4"/>
        <v>0</v>
      </c>
      <c r="G30" s="403" t="e">
        <f t="shared" si="8"/>
        <v>#DIV/0!</v>
      </c>
      <c r="H30" s="403" t="e">
        <f t="shared" si="9"/>
        <v>#DIV/0!</v>
      </c>
      <c r="I30" s="403" t="e">
        <f t="shared" si="10"/>
        <v>#DIV/0!</v>
      </c>
      <c r="J30" s="403" t="e">
        <f t="shared" si="11"/>
        <v>#DIV/0!</v>
      </c>
      <c r="K30" s="403" t="e">
        <f t="shared" si="12"/>
        <v>#DIV/0!</v>
      </c>
      <c r="L30" s="403" t="e">
        <f t="shared" si="13"/>
        <v>#DIV/0!</v>
      </c>
      <c r="M30" s="403" t="e">
        <f t="shared" si="14"/>
        <v>#DIV/0!</v>
      </c>
      <c r="N30" s="403" t="e">
        <f t="shared" si="15"/>
        <v>#DIV/0!</v>
      </c>
      <c r="O30" s="403" t="e">
        <f t="shared" si="16"/>
        <v>#DIV/0!</v>
      </c>
      <c r="P30" s="403" t="e">
        <f t="shared" si="17"/>
        <v>#DIV/0!</v>
      </c>
      <c r="Q30" s="403" t="e">
        <f t="shared" si="18"/>
        <v>#DIV/0!</v>
      </c>
      <c r="R30" s="403" t="e">
        <f t="shared" si="19"/>
        <v>#DIV/0!</v>
      </c>
      <c r="S30" s="403" t="e">
        <f t="shared" si="20"/>
        <v>#DIV/0!</v>
      </c>
      <c r="T30" s="403" t="e">
        <f t="shared" si="21"/>
        <v>#DIV/0!</v>
      </c>
      <c r="U30" s="403" t="e">
        <f t="shared" si="22"/>
        <v>#DIV/0!</v>
      </c>
      <c r="V30" s="403" t="e">
        <f t="shared" si="23"/>
        <v>#DIV/0!</v>
      </c>
      <c r="W30" s="403" t="e">
        <f t="shared" si="24"/>
        <v>#DIV/0!</v>
      </c>
      <c r="X30" s="403" t="e">
        <f t="shared" si="25"/>
        <v>#DIV/0!</v>
      </c>
      <c r="Y30" s="403" t="e">
        <f t="shared" si="26"/>
        <v>#DIV/0!</v>
      </c>
      <c r="Z30" s="403" t="e">
        <f t="shared" si="27"/>
        <v>#DIV/0!</v>
      </c>
    </row>
    <row r="31" spans="2:26" x14ac:dyDescent="0.25">
      <c r="B31" s="402" t="e">
        <f>IRR(F31:Z31,'5'!$I$26/100)</f>
        <v>#VALUE!</v>
      </c>
      <c r="C31" s="484">
        <f t="shared" si="7"/>
        <v>0</v>
      </c>
      <c r="D31" s="402">
        <v>0.1</v>
      </c>
      <c r="E31" s="353">
        <f t="shared" si="5"/>
        <v>0</v>
      </c>
      <c r="F31" s="353">
        <f t="shared" si="4"/>
        <v>0</v>
      </c>
      <c r="G31" s="403" t="e">
        <f t="shared" si="8"/>
        <v>#DIV/0!</v>
      </c>
      <c r="H31" s="403" t="e">
        <f t="shared" si="9"/>
        <v>#DIV/0!</v>
      </c>
      <c r="I31" s="403" t="e">
        <f t="shared" si="10"/>
        <v>#DIV/0!</v>
      </c>
      <c r="J31" s="403" t="e">
        <f t="shared" si="11"/>
        <v>#DIV/0!</v>
      </c>
      <c r="K31" s="403" t="e">
        <f t="shared" si="12"/>
        <v>#DIV/0!</v>
      </c>
      <c r="L31" s="403" t="e">
        <f t="shared" si="13"/>
        <v>#DIV/0!</v>
      </c>
      <c r="M31" s="403" t="e">
        <f t="shared" si="14"/>
        <v>#DIV/0!</v>
      </c>
      <c r="N31" s="403" t="e">
        <f t="shared" si="15"/>
        <v>#DIV/0!</v>
      </c>
      <c r="O31" s="403" t="e">
        <f t="shared" si="16"/>
        <v>#DIV/0!</v>
      </c>
      <c r="P31" s="403" t="e">
        <f t="shared" si="17"/>
        <v>#DIV/0!</v>
      </c>
      <c r="Q31" s="403" t="e">
        <f t="shared" si="18"/>
        <v>#DIV/0!</v>
      </c>
      <c r="R31" s="403" t="e">
        <f t="shared" si="19"/>
        <v>#DIV/0!</v>
      </c>
      <c r="S31" s="403" t="e">
        <f t="shared" si="20"/>
        <v>#DIV/0!</v>
      </c>
      <c r="T31" s="403" t="e">
        <f t="shared" si="21"/>
        <v>#DIV/0!</v>
      </c>
      <c r="U31" s="403" t="e">
        <f t="shared" si="22"/>
        <v>#DIV/0!</v>
      </c>
      <c r="V31" s="403" t="e">
        <f t="shared" si="23"/>
        <v>#DIV/0!</v>
      </c>
      <c r="W31" s="403" t="e">
        <f t="shared" si="24"/>
        <v>#DIV/0!</v>
      </c>
      <c r="X31" s="403" t="e">
        <f t="shared" si="25"/>
        <v>#DIV/0!</v>
      </c>
      <c r="Y31" s="403" t="e">
        <f t="shared" si="26"/>
        <v>#DIV/0!</v>
      </c>
      <c r="Z31" s="403" t="e">
        <f t="shared" si="27"/>
        <v>#DIV/0!</v>
      </c>
    </row>
    <row r="32" spans="2:26" x14ac:dyDescent="0.25">
      <c r="B32" s="402" t="e">
        <f>IRR(F32:Z32,'5'!$I$26/100)</f>
        <v>#VALUE!</v>
      </c>
      <c r="C32" s="484">
        <f t="shared" si="7"/>
        <v>0</v>
      </c>
      <c r="D32" s="402">
        <v>0.11</v>
      </c>
      <c r="E32" s="353">
        <f t="shared" si="5"/>
        <v>0</v>
      </c>
      <c r="F32" s="353">
        <f t="shared" si="4"/>
        <v>0</v>
      </c>
      <c r="G32" s="403" t="e">
        <f t="shared" si="8"/>
        <v>#DIV/0!</v>
      </c>
      <c r="H32" s="403" t="e">
        <f t="shared" si="9"/>
        <v>#DIV/0!</v>
      </c>
      <c r="I32" s="403" t="e">
        <f t="shared" si="10"/>
        <v>#DIV/0!</v>
      </c>
      <c r="J32" s="403" t="e">
        <f t="shared" si="11"/>
        <v>#DIV/0!</v>
      </c>
      <c r="K32" s="403" t="e">
        <f t="shared" si="12"/>
        <v>#DIV/0!</v>
      </c>
      <c r="L32" s="403" t="e">
        <f t="shared" si="13"/>
        <v>#DIV/0!</v>
      </c>
      <c r="M32" s="403" t="e">
        <f t="shared" si="14"/>
        <v>#DIV/0!</v>
      </c>
      <c r="N32" s="403" t="e">
        <f t="shared" si="15"/>
        <v>#DIV/0!</v>
      </c>
      <c r="O32" s="403" t="e">
        <f t="shared" si="16"/>
        <v>#DIV/0!</v>
      </c>
      <c r="P32" s="403" t="e">
        <f t="shared" si="17"/>
        <v>#DIV/0!</v>
      </c>
      <c r="Q32" s="403" t="e">
        <f t="shared" si="18"/>
        <v>#DIV/0!</v>
      </c>
      <c r="R32" s="403" t="e">
        <f t="shared" si="19"/>
        <v>#DIV/0!</v>
      </c>
      <c r="S32" s="403" t="e">
        <f t="shared" si="20"/>
        <v>#DIV/0!</v>
      </c>
      <c r="T32" s="403" t="e">
        <f t="shared" si="21"/>
        <v>#DIV/0!</v>
      </c>
      <c r="U32" s="403" t="e">
        <f t="shared" si="22"/>
        <v>#DIV/0!</v>
      </c>
      <c r="V32" s="403" t="e">
        <f t="shared" si="23"/>
        <v>#DIV/0!</v>
      </c>
      <c r="W32" s="403" t="e">
        <f t="shared" si="24"/>
        <v>#DIV/0!</v>
      </c>
      <c r="X32" s="403" t="e">
        <f t="shared" si="25"/>
        <v>#DIV/0!</v>
      </c>
      <c r="Y32" s="403" t="e">
        <f t="shared" si="26"/>
        <v>#DIV/0!</v>
      </c>
      <c r="Z32" s="403" t="e">
        <f t="shared" si="27"/>
        <v>#DIV/0!</v>
      </c>
    </row>
    <row r="33" spans="2:26" x14ac:dyDescent="0.25">
      <c r="B33" s="402" t="e">
        <f>IRR(F33:Z33,'5'!$I$26/100)</f>
        <v>#VALUE!</v>
      </c>
      <c r="C33" s="484">
        <f t="shared" si="7"/>
        <v>0</v>
      </c>
      <c r="D33" s="402">
        <v>0.12</v>
      </c>
      <c r="E33" s="353">
        <f t="shared" si="5"/>
        <v>0</v>
      </c>
      <c r="F33" s="353">
        <f t="shared" si="4"/>
        <v>0</v>
      </c>
      <c r="G33" s="403" t="e">
        <f t="shared" si="8"/>
        <v>#DIV/0!</v>
      </c>
      <c r="H33" s="403" t="e">
        <f t="shared" si="9"/>
        <v>#DIV/0!</v>
      </c>
      <c r="I33" s="403" t="e">
        <f t="shared" si="10"/>
        <v>#DIV/0!</v>
      </c>
      <c r="J33" s="403" t="e">
        <f t="shared" si="11"/>
        <v>#DIV/0!</v>
      </c>
      <c r="K33" s="403" t="e">
        <f t="shared" si="12"/>
        <v>#DIV/0!</v>
      </c>
      <c r="L33" s="403" t="e">
        <f t="shared" si="13"/>
        <v>#DIV/0!</v>
      </c>
      <c r="M33" s="403" t="e">
        <f t="shared" si="14"/>
        <v>#DIV/0!</v>
      </c>
      <c r="N33" s="403" t="e">
        <f t="shared" si="15"/>
        <v>#DIV/0!</v>
      </c>
      <c r="O33" s="403" t="e">
        <f t="shared" si="16"/>
        <v>#DIV/0!</v>
      </c>
      <c r="P33" s="403" t="e">
        <f t="shared" si="17"/>
        <v>#DIV/0!</v>
      </c>
      <c r="Q33" s="403" t="e">
        <f t="shared" si="18"/>
        <v>#DIV/0!</v>
      </c>
      <c r="R33" s="403" t="e">
        <f t="shared" si="19"/>
        <v>#DIV/0!</v>
      </c>
      <c r="S33" s="403" t="e">
        <f t="shared" si="20"/>
        <v>#DIV/0!</v>
      </c>
      <c r="T33" s="403" t="e">
        <f t="shared" si="21"/>
        <v>#DIV/0!</v>
      </c>
      <c r="U33" s="403" t="e">
        <f t="shared" si="22"/>
        <v>#DIV/0!</v>
      </c>
      <c r="V33" s="403" t="e">
        <f t="shared" si="23"/>
        <v>#DIV/0!</v>
      </c>
      <c r="W33" s="403" t="e">
        <f t="shared" si="24"/>
        <v>#DIV/0!</v>
      </c>
      <c r="X33" s="403" t="e">
        <f t="shared" si="25"/>
        <v>#DIV/0!</v>
      </c>
      <c r="Y33" s="403" t="e">
        <f t="shared" si="26"/>
        <v>#DIV/0!</v>
      </c>
      <c r="Z33" s="403" t="e">
        <f t="shared" si="27"/>
        <v>#DIV/0!</v>
      </c>
    </row>
    <row r="34" spans="2:26" x14ac:dyDescent="0.25">
      <c r="B34" s="402" t="e">
        <f>IRR(F34:Z34,'5'!$I$26/100)</f>
        <v>#VALUE!</v>
      </c>
      <c r="C34" s="484">
        <f t="shared" si="7"/>
        <v>0</v>
      </c>
      <c r="D34" s="402">
        <v>0.13</v>
      </c>
      <c r="E34" s="353">
        <f t="shared" si="5"/>
        <v>0</v>
      </c>
      <c r="F34" s="353">
        <f t="shared" si="4"/>
        <v>0</v>
      </c>
      <c r="G34" s="403" t="e">
        <f t="shared" si="8"/>
        <v>#DIV/0!</v>
      </c>
      <c r="H34" s="403" t="e">
        <f t="shared" si="9"/>
        <v>#DIV/0!</v>
      </c>
      <c r="I34" s="403" t="e">
        <f t="shared" si="10"/>
        <v>#DIV/0!</v>
      </c>
      <c r="J34" s="403" t="e">
        <f t="shared" si="11"/>
        <v>#DIV/0!</v>
      </c>
      <c r="K34" s="403" t="e">
        <f t="shared" si="12"/>
        <v>#DIV/0!</v>
      </c>
      <c r="L34" s="403" t="e">
        <f t="shared" si="13"/>
        <v>#DIV/0!</v>
      </c>
      <c r="M34" s="403" t="e">
        <f t="shared" si="14"/>
        <v>#DIV/0!</v>
      </c>
      <c r="N34" s="403" t="e">
        <f t="shared" si="15"/>
        <v>#DIV/0!</v>
      </c>
      <c r="O34" s="403" t="e">
        <f t="shared" si="16"/>
        <v>#DIV/0!</v>
      </c>
      <c r="P34" s="403" t="e">
        <f t="shared" si="17"/>
        <v>#DIV/0!</v>
      </c>
      <c r="Q34" s="403" t="e">
        <f t="shared" si="18"/>
        <v>#DIV/0!</v>
      </c>
      <c r="R34" s="403" t="e">
        <f t="shared" si="19"/>
        <v>#DIV/0!</v>
      </c>
      <c r="S34" s="403" t="e">
        <f t="shared" si="20"/>
        <v>#DIV/0!</v>
      </c>
      <c r="T34" s="403" t="e">
        <f t="shared" si="21"/>
        <v>#DIV/0!</v>
      </c>
      <c r="U34" s="403" t="e">
        <f t="shared" si="22"/>
        <v>#DIV/0!</v>
      </c>
      <c r="V34" s="403" t="e">
        <f t="shared" si="23"/>
        <v>#DIV/0!</v>
      </c>
      <c r="W34" s="403" t="e">
        <f t="shared" si="24"/>
        <v>#DIV/0!</v>
      </c>
      <c r="X34" s="403" t="e">
        <f t="shared" si="25"/>
        <v>#DIV/0!</v>
      </c>
      <c r="Y34" s="403" t="e">
        <f t="shared" si="26"/>
        <v>#DIV/0!</v>
      </c>
      <c r="Z34" s="403" t="e">
        <f t="shared" si="27"/>
        <v>#DIV/0!</v>
      </c>
    </row>
    <row r="35" spans="2:26" x14ac:dyDescent="0.25">
      <c r="B35" s="402" t="e">
        <f>IRR(F35:Z35,'5'!$I$26/100)</f>
        <v>#VALUE!</v>
      </c>
      <c r="C35" s="484">
        <f t="shared" si="7"/>
        <v>0</v>
      </c>
      <c r="D35" s="402">
        <v>0.14000000000000001</v>
      </c>
      <c r="E35" s="353">
        <f t="shared" si="5"/>
        <v>0</v>
      </c>
      <c r="F35" s="353">
        <f t="shared" si="4"/>
        <v>0</v>
      </c>
      <c r="G35" s="403" t="e">
        <f t="shared" si="8"/>
        <v>#DIV/0!</v>
      </c>
      <c r="H35" s="403" t="e">
        <f t="shared" si="9"/>
        <v>#DIV/0!</v>
      </c>
      <c r="I35" s="403" t="e">
        <f t="shared" si="10"/>
        <v>#DIV/0!</v>
      </c>
      <c r="J35" s="403" t="e">
        <f t="shared" si="11"/>
        <v>#DIV/0!</v>
      </c>
      <c r="K35" s="403" t="e">
        <f t="shared" si="12"/>
        <v>#DIV/0!</v>
      </c>
      <c r="L35" s="403" t="e">
        <f t="shared" si="13"/>
        <v>#DIV/0!</v>
      </c>
      <c r="M35" s="403" t="e">
        <f t="shared" si="14"/>
        <v>#DIV/0!</v>
      </c>
      <c r="N35" s="403" t="e">
        <f t="shared" si="15"/>
        <v>#DIV/0!</v>
      </c>
      <c r="O35" s="403" t="e">
        <f t="shared" si="16"/>
        <v>#DIV/0!</v>
      </c>
      <c r="P35" s="403" t="e">
        <f t="shared" si="17"/>
        <v>#DIV/0!</v>
      </c>
      <c r="Q35" s="403" t="e">
        <f t="shared" si="18"/>
        <v>#DIV/0!</v>
      </c>
      <c r="R35" s="403" t="e">
        <f t="shared" si="19"/>
        <v>#DIV/0!</v>
      </c>
      <c r="S35" s="403" t="e">
        <f t="shared" si="20"/>
        <v>#DIV/0!</v>
      </c>
      <c r="T35" s="403" t="e">
        <f t="shared" si="21"/>
        <v>#DIV/0!</v>
      </c>
      <c r="U35" s="403" t="e">
        <f t="shared" si="22"/>
        <v>#DIV/0!</v>
      </c>
      <c r="V35" s="403" t="e">
        <f t="shared" si="23"/>
        <v>#DIV/0!</v>
      </c>
      <c r="W35" s="403" t="e">
        <f t="shared" si="24"/>
        <v>#DIV/0!</v>
      </c>
      <c r="X35" s="403" t="e">
        <f t="shared" si="25"/>
        <v>#DIV/0!</v>
      </c>
      <c r="Y35" s="403" t="e">
        <f t="shared" si="26"/>
        <v>#DIV/0!</v>
      </c>
      <c r="Z35" s="403" t="e">
        <f t="shared" si="27"/>
        <v>#DIV/0!</v>
      </c>
    </row>
    <row r="36" spans="2:26" x14ac:dyDescent="0.25">
      <c r="B36" s="402" t="e">
        <f>IRR(F36:Z36,'5'!$I$26/100)</f>
        <v>#VALUE!</v>
      </c>
      <c r="C36" s="484">
        <f t="shared" si="7"/>
        <v>0</v>
      </c>
      <c r="D36" s="402">
        <v>0.15</v>
      </c>
      <c r="E36" s="353">
        <f t="shared" si="5"/>
        <v>0</v>
      </c>
      <c r="F36" s="353">
        <f t="shared" si="4"/>
        <v>0</v>
      </c>
      <c r="G36" s="403" t="e">
        <f t="shared" si="8"/>
        <v>#DIV/0!</v>
      </c>
      <c r="H36" s="403" t="e">
        <f t="shared" si="9"/>
        <v>#DIV/0!</v>
      </c>
      <c r="I36" s="403" t="e">
        <f t="shared" si="10"/>
        <v>#DIV/0!</v>
      </c>
      <c r="J36" s="403" t="e">
        <f t="shared" si="11"/>
        <v>#DIV/0!</v>
      </c>
      <c r="K36" s="403" t="e">
        <f t="shared" si="12"/>
        <v>#DIV/0!</v>
      </c>
      <c r="L36" s="403" t="e">
        <f t="shared" si="13"/>
        <v>#DIV/0!</v>
      </c>
      <c r="M36" s="403" t="e">
        <f t="shared" si="14"/>
        <v>#DIV/0!</v>
      </c>
      <c r="N36" s="403" t="e">
        <f t="shared" si="15"/>
        <v>#DIV/0!</v>
      </c>
      <c r="O36" s="403" t="e">
        <f t="shared" si="16"/>
        <v>#DIV/0!</v>
      </c>
      <c r="P36" s="403" t="e">
        <f t="shared" si="17"/>
        <v>#DIV/0!</v>
      </c>
      <c r="Q36" s="403" t="e">
        <f t="shared" si="18"/>
        <v>#DIV/0!</v>
      </c>
      <c r="R36" s="403" t="e">
        <f t="shared" si="19"/>
        <v>#DIV/0!</v>
      </c>
      <c r="S36" s="403" t="e">
        <f t="shared" si="20"/>
        <v>#DIV/0!</v>
      </c>
      <c r="T36" s="403" t="e">
        <f t="shared" si="21"/>
        <v>#DIV/0!</v>
      </c>
      <c r="U36" s="403" t="e">
        <f t="shared" si="22"/>
        <v>#DIV/0!</v>
      </c>
      <c r="V36" s="403" t="e">
        <f t="shared" si="23"/>
        <v>#DIV/0!</v>
      </c>
      <c r="W36" s="403" t="e">
        <f t="shared" si="24"/>
        <v>#DIV/0!</v>
      </c>
      <c r="X36" s="403" t="e">
        <f t="shared" si="25"/>
        <v>#DIV/0!</v>
      </c>
      <c r="Y36" s="403" t="e">
        <f t="shared" si="26"/>
        <v>#DIV/0!</v>
      </c>
      <c r="Z36" s="403" t="e">
        <f t="shared" si="27"/>
        <v>#DIV/0!</v>
      </c>
    </row>
    <row r="37" spans="2:26" x14ac:dyDescent="0.25">
      <c r="B37" s="402" t="e">
        <f>IRR(F37:Z37,'5'!$I$26/100)</f>
        <v>#VALUE!</v>
      </c>
      <c r="C37" s="484">
        <f t="shared" si="7"/>
        <v>0</v>
      </c>
      <c r="D37" s="402">
        <v>0.16</v>
      </c>
      <c r="E37" s="353">
        <f t="shared" si="5"/>
        <v>0</v>
      </c>
      <c r="F37" s="353">
        <f t="shared" si="4"/>
        <v>0</v>
      </c>
      <c r="G37" s="403" t="e">
        <f t="shared" si="8"/>
        <v>#DIV/0!</v>
      </c>
      <c r="H37" s="403" t="e">
        <f t="shared" si="9"/>
        <v>#DIV/0!</v>
      </c>
      <c r="I37" s="403" t="e">
        <f t="shared" si="10"/>
        <v>#DIV/0!</v>
      </c>
      <c r="J37" s="403" t="e">
        <f t="shared" si="11"/>
        <v>#DIV/0!</v>
      </c>
      <c r="K37" s="403" t="e">
        <f t="shared" si="12"/>
        <v>#DIV/0!</v>
      </c>
      <c r="L37" s="403" t="e">
        <f t="shared" si="13"/>
        <v>#DIV/0!</v>
      </c>
      <c r="M37" s="403" t="e">
        <f t="shared" si="14"/>
        <v>#DIV/0!</v>
      </c>
      <c r="N37" s="403" t="e">
        <f t="shared" si="15"/>
        <v>#DIV/0!</v>
      </c>
      <c r="O37" s="403" t="e">
        <f t="shared" si="16"/>
        <v>#DIV/0!</v>
      </c>
      <c r="P37" s="403" t="e">
        <f t="shared" si="17"/>
        <v>#DIV/0!</v>
      </c>
      <c r="Q37" s="403" t="e">
        <f t="shared" si="18"/>
        <v>#DIV/0!</v>
      </c>
      <c r="R37" s="403" t="e">
        <f t="shared" si="19"/>
        <v>#DIV/0!</v>
      </c>
      <c r="S37" s="403" t="e">
        <f t="shared" si="20"/>
        <v>#DIV/0!</v>
      </c>
      <c r="T37" s="403" t="e">
        <f t="shared" si="21"/>
        <v>#DIV/0!</v>
      </c>
      <c r="U37" s="403" t="e">
        <f t="shared" si="22"/>
        <v>#DIV/0!</v>
      </c>
      <c r="V37" s="403" t="e">
        <f t="shared" si="23"/>
        <v>#DIV/0!</v>
      </c>
      <c r="W37" s="403" t="e">
        <f t="shared" si="24"/>
        <v>#DIV/0!</v>
      </c>
      <c r="X37" s="403" t="e">
        <f t="shared" si="25"/>
        <v>#DIV/0!</v>
      </c>
      <c r="Y37" s="403" t="e">
        <f t="shared" si="26"/>
        <v>#DIV/0!</v>
      </c>
      <c r="Z37" s="403" t="e">
        <f t="shared" si="27"/>
        <v>#DIV/0!</v>
      </c>
    </row>
    <row r="38" spans="2:26" x14ac:dyDescent="0.25">
      <c r="B38" s="402" t="e">
        <f>IRR(F38:Z38,'5'!$I$26/100)</f>
        <v>#VALUE!</v>
      </c>
      <c r="C38" s="484">
        <f t="shared" si="7"/>
        <v>0</v>
      </c>
      <c r="D38" s="402">
        <v>0.17</v>
      </c>
      <c r="E38" s="353">
        <f t="shared" si="5"/>
        <v>0</v>
      </c>
      <c r="F38" s="353">
        <f t="shared" si="4"/>
        <v>0</v>
      </c>
      <c r="G38" s="403" t="e">
        <f t="shared" si="8"/>
        <v>#DIV/0!</v>
      </c>
      <c r="H38" s="403" t="e">
        <f t="shared" si="9"/>
        <v>#DIV/0!</v>
      </c>
      <c r="I38" s="403" t="e">
        <f t="shared" si="10"/>
        <v>#DIV/0!</v>
      </c>
      <c r="J38" s="403" t="e">
        <f t="shared" si="11"/>
        <v>#DIV/0!</v>
      </c>
      <c r="K38" s="403" t="e">
        <f t="shared" si="12"/>
        <v>#DIV/0!</v>
      </c>
      <c r="L38" s="403" t="e">
        <f t="shared" si="13"/>
        <v>#DIV/0!</v>
      </c>
      <c r="M38" s="403" t="e">
        <f t="shared" si="14"/>
        <v>#DIV/0!</v>
      </c>
      <c r="N38" s="403" t="e">
        <f t="shared" si="15"/>
        <v>#DIV/0!</v>
      </c>
      <c r="O38" s="403" t="e">
        <f t="shared" si="16"/>
        <v>#DIV/0!</v>
      </c>
      <c r="P38" s="403" t="e">
        <f t="shared" si="17"/>
        <v>#DIV/0!</v>
      </c>
      <c r="Q38" s="403" t="e">
        <f t="shared" si="18"/>
        <v>#DIV/0!</v>
      </c>
      <c r="R38" s="403" t="e">
        <f t="shared" si="19"/>
        <v>#DIV/0!</v>
      </c>
      <c r="S38" s="403" t="e">
        <f t="shared" si="20"/>
        <v>#DIV/0!</v>
      </c>
      <c r="T38" s="403" t="e">
        <f t="shared" si="21"/>
        <v>#DIV/0!</v>
      </c>
      <c r="U38" s="403" t="e">
        <f t="shared" si="22"/>
        <v>#DIV/0!</v>
      </c>
      <c r="V38" s="403" t="e">
        <f t="shared" si="23"/>
        <v>#DIV/0!</v>
      </c>
      <c r="W38" s="403" t="e">
        <f t="shared" si="24"/>
        <v>#DIV/0!</v>
      </c>
      <c r="X38" s="403" t="e">
        <f t="shared" si="25"/>
        <v>#DIV/0!</v>
      </c>
      <c r="Y38" s="403" t="e">
        <f t="shared" si="26"/>
        <v>#DIV/0!</v>
      </c>
      <c r="Z38" s="403" t="e">
        <f t="shared" si="27"/>
        <v>#DIV/0!</v>
      </c>
    </row>
    <row r="39" spans="2:26" x14ac:dyDescent="0.25">
      <c r="B39" s="402" t="e">
        <f>IRR(F39:Z39,'5'!$I$26/100)</f>
        <v>#VALUE!</v>
      </c>
      <c r="C39" s="484">
        <f t="shared" si="7"/>
        <v>0</v>
      </c>
      <c r="D39" s="402">
        <v>0.18</v>
      </c>
      <c r="E39" s="353">
        <f t="shared" si="5"/>
        <v>0</v>
      </c>
      <c r="F39" s="353">
        <f t="shared" si="4"/>
        <v>0</v>
      </c>
      <c r="G39" s="403" t="e">
        <f t="shared" si="8"/>
        <v>#DIV/0!</v>
      </c>
      <c r="H39" s="403" t="e">
        <f t="shared" si="9"/>
        <v>#DIV/0!</v>
      </c>
      <c r="I39" s="403" t="e">
        <f t="shared" si="10"/>
        <v>#DIV/0!</v>
      </c>
      <c r="J39" s="403" t="e">
        <f t="shared" si="11"/>
        <v>#DIV/0!</v>
      </c>
      <c r="K39" s="403" t="e">
        <f t="shared" si="12"/>
        <v>#DIV/0!</v>
      </c>
      <c r="L39" s="403" t="e">
        <f t="shared" si="13"/>
        <v>#DIV/0!</v>
      </c>
      <c r="M39" s="403" t="e">
        <f t="shared" si="14"/>
        <v>#DIV/0!</v>
      </c>
      <c r="N39" s="403" t="e">
        <f t="shared" si="15"/>
        <v>#DIV/0!</v>
      </c>
      <c r="O39" s="403" t="e">
        <f t="shared" si="16"/>
        <v>#DIV/0!</v>
      </c>
      <c r="P39" s="403" t="e">
        <f t="shared" si="17"/>
        <v>#DIV/0!</v>
      </c>
      <c r="Q39" s="403" t="e">
        <f t="shared" si="18"/>
        <v>#DIV/0!</v>
      </c>
      <c r="R39" s="403" t="e">
        <f t="shared" si="19"/>
        <v>#DIV/0!</v>
      </c>
      <c r="S39" s="403" t="e">
        <f t="shared" si="20"/>
        <v>#DIV/0!</v>
      </c>
      <c r="T39" s="403" t="e">
        <f t="shared" si="21"/>
        <v>#DIV/0!</v>
      </c>
      <c r="U39" s="403" t="e">
        <f t="shared" si="22"/>
        <v>#DIV/0!</v>
      </c>
      <c r="V39" s="403" t="e">
        <f t="shared" si="23"/>
        <v>#DIV/0!</v>
      </c>
      <c r="W39" s="403" t="e">
        <f t="shared" si="24"/>
        <v>#DIV/0!</v>
      </c>
      <c r="X39" s="403" t="e">
        <f t="shared" si="25"/>
        <v>#DIV/0!</v>
      </c>
      <c r="Y39" s="403" t="e">
        <f t="shared" si="26"/>
        <v>#DIV/0!</v>
      </c>
      <c r="Z39" s="403" t="e">
        <f t="shared" si="27"/>
        <v>#DIV/0!</v>
      </c>
    </row>
    <row r="40" spans="2:26" x14ac:dyDescent="0.25">
      <c r="B40" s="402" t="e">
        <f>IRR(F40:Z40,'5'!$I$26/100)</f>
        <v>#VALUE!</v>
      </c>
      <c r="C40" s="484">
        <f t="shared" si="7"/>
        <v>0</v>
      </c>
      <c r="D40" s="402">
        <v>0.19</v>
      </c>
      <c r="E40" s="353">
        <f t="shared" si="5"/>
        <v>0</v>
      </c>
      <c r="F40" s="353">
        <f t="shared" si="4"/>
        <v>0</v>
      </c>
      <c r="G40" s="403" t="e">
        <f t="shared" si="8"/>
        <v>#DIV/0!</v>
      </c>
      <c r="H40" s="403" t="e">
        <f t="shared" si="9"/>
        <v>#DIV/0!</v>
      </c>
      <c r="I40" s="403" t="e">
        <f t="shared" si="10"/>
        <v>#DIV/0!</v>
      </c>
      <c r="J40" s="403" t="e">
        <f t="shared" si="11"/>
        <v>#DIV/0!</v>
      </c>
      <c r="K40" s="403" t="e">
        <f t="shared" si="12"/>
        <v>#DIV/0!</v>
      </c>
      <c r="L40" s="403" t="e">
        <f t="shared" si="13"/>
        <v>#DIV/0!</v>
      </c>
      <c r="M40" s="403" t="e">
        <f t="shared" si="14"/>
        <v>#DIV/0!</v>
      </c>
      <c r="N40" s="403" t="e">
        <f t="shared" si="15"/>
        <v>#DIV/0!</v>
      </c>
      <c r="O40" s="403" t="e">
        <f t="shared" si="16"/>
        <v>#DIV/0!</v>
      </c>
      <c r="P40" s="403" t="e">
        <f t="shared" si="17"/>
        <v>#DIV/0!</v>
      </c>
      <c r="Q40" s="403" t="e">
        <f t="shared" si="18"/>
        <v>#DIV/0!</v>
      </c>
      <c r="R40" s="403" t="e">
        <f t="shared" si="19"/>
        <v>#DIV/0!</v>
      </c>
      <c r="S40" s="403" t="e">
        <f t="shared" si="20"/>
        <v>#DIV/0!</v>
      </c>
      <c r="T40" s="403" t="e">
        <f t="shared" si="21"/>
        <v>#DIV/0!</v>
      </c>
      <c r="U40" s="403" t="e">
        <f t="shared" si="22"/>
        <v>#DIV/0!</v>
      </c>
      <c r="V40" s="403" t="e">
        <f t="shared" si="23"/>
        <v>#DIV/0!</v>
      </c>
      <c r="W40" s="403" t="e">
        <f t="shared" si="24"/>
        <v>#DIV/0!</v>
      </c>
      <c r="X40" s="403" t="e">
        <f t="shared" si="25"/>
        <v>#DIV/0!</v>
      </c>
      <c r="Y40" s="403" t="e">
        <f t="shared" si="26"/>
        <v>#DIV/0!</v>
      </c>
      <c r="Z40" s="403" t="e">
        <f t="shared" si="27"/>
        <v>#DIV/0!</v>
      </c>
    </row>
    <row r="41" spans="2:26" x14ac:dyDescent="0.25">
      <c r="B41" s="402" t="e">
        <f>IRR(F41:Z41,'5'!$I$26/100)</f>
        <v>#VALUE!</v>
      </c>
      <c r="C41" s="484">
        <f t="shared" si="7"/>
        <v>0</v>
      </c>
      <c r="D41" s="402">
        <v>0.2</v>
      </c>
      <c r="E41" s="353">
        <f t="shared" si="5"/>
        <v>0</v>
      </c>
      <c r="F41" s="353">
        <f t="shared" si="4"/>
        <v>0</v>
      </c>
      <c r="G41" s="403" t="e">
        <f t="shared" si="8"/>
        <v>#DIV/0!</v>
      </c>
      <c r="H41" s="403" t="e">
        <f t="shared" si="9"/>
        <v>#DIV/0!</v>
      </c>
      <c r="I41" s="403" t="e">
        <f t="shared" si="10"/>
        <v>#DIV/0!</v>
      </c>
      <c r="J41" s="403" t="e">
        <f t="shared" si="11"/>
        <v>#DIV/0!</v>
      </c>
      <c r="K41" s="403" t="e">
        <f t="shared" si="12"/>
        <v>#DIV/0!</v>
      </c>
      <c r="L41" s="403" t="e">
        <f t="shared" si="13"/>
        <v>#DIV/0!</v>
      </c>
      <c r="M41" s="403" t="e">
        <f t="shared" si="14"/>
        <v>#DIV/0!</v>
      </c>
      <c r="N41" s="403" t="e">
        <f t="shared" si="15"/>
        <v>#DIV/0!</v>
      </c>
      <c r="O41" s="403" t="e">
        <f t="shared" si="16"/>
        <v>#DIV/0!</v>
      </c>
      <c r="P41" s="403" t="e">
        <f t="shared" si="17"/>
        <v>#DIV/0!</v>
      </c>
      <c r="Q41" s="403" t="e">
        <f t="shared" si="18"/>
        <v>#DIV/0!</v>
      </c>
      <c r="R41" s="403" t="e">
        <f t="shared" si="19"/>
        <v>#DIV/0!</v>
      </c>
      <c r="S41" s="403" t="e">
        <f t="shared" si="20"/>
        <v>#DIV/0!</v>
      </c>
      <c r="T41" s="403" t="e">
        <f t="shared" si="21"/>
        <v>#DIV/0!</v>
      </c>
      <c r="U41" s="403" t="e">
        <f t="shared" si="22"/>
        <v>#DIV/0!</v>
      </c>
      <c r="V41" s="403" t="e">
        <f t="shared" si="23"/>
        <v>#DIV/0!</v>
      </c>
      <c r="W41" s="403" t="e">
        <f t="shared" si="24"/>
        <v>#DIV/0!</v>
      </c>
      <c r="X41" s="403" t="e">
        <f t="shared" si="25"/>
        <v>#DIV/0!</v>
      </c>
      <c r="Y41" s="403" t="e">
        <f t="shared" si="26"/>
        <v>#DIV/0!</v>
      </c>
      <c r="Z41" s="403" t="e">
        <f t="shared" si="27"/>
        <v>#DIV/0!</v>
      </c>
    </row>
    <row r="42" spans="2:26" x14ac:dyDescent="0.25">
      <c r="B42" s="402" t="e">
        <f>IRR(F42:Z42,'5'!$I$26/100)</f>
        <v>#VALUE!</v>
      </c>
      <c r="C42" s="484">
        <f t="shared" si="7"/>
        <v>0</v>
      </c>
      <c r="D42" s="402">
        <v>0.21</v>
      </c>
      <c r="E42" s="353">
        <f t="shared" si="5"/>
        <v>0</v>
      </c>
      <c r="F42" s="353">
        <f t="shared" si="4"/>
        <v>0</v>
      </c>
      <c r="G42" s="403" t="e">
        <f t="shared" si="8"/>
        <v>#DIV/0!</v>
      </c>
      <c r="H42" s="403" t="e">
        <f t="shared" si="9"/>
        <v>#DIV/0!</v>
      </c>
      <c r="I42" s="403" t="e">
        <f t="shared" si="10"/>
        <v>#DIV/0!</v>
      </c>
      <c r="J42" s="403" t="e">
        <f t="shared" si="11"/>
        <v>#DIV/0!</v>
      </c>
      <c r="K42" s="403" t="e">
        <f t="shared" si="12"/>
        <v>#DIV/0!</v>
      </c>
      <c r="L42" s="403" t="e">
        <f t="shared" si="13"/>
        <v>#DIV/0!</v>
      </c>
      <c r="M42" s="403" t="e">
        <f t="shared" si="14"/>
        <v>#DIV/0!</v>
      </c>
      <c r="N42" s="403" t="e">
        <f t="shared" si="15"/>
        <v>#DIV/0!</v>
      </c>
      <c r="O42" s="403" t="e">
        <f t="shared" si="16"/>
        <v>#DIV/0!</v>
      </c>
      <c r="P42" s="403" t="e">
        <f t="shared" si="17"/>
        <v>#DIV/0!</v>
      </c>
      <c r="Q42" s="403" t="e">
        <f t="shared" si="18"/>
        <v>#DIV/0!</v>
      </c>
      <c r="R42" s="403" t="e">
        <f t="shared" si="19"/>
        <v>#DIV/0!</v>
      </c>
      <c r="S42" s="403" t="e">
        <f t="shared" si="20"/>
        <v>#DIV/0!</v>
      </c>
      <c r="T42" s="403" t="e">
        <f t="shared" si="21"/>
        <v>#DIV/0!</v>
      </c>
      <c r="U42" s="403" t="e">
        <f t="shared" si="22"/>
        <v>#DIV/0!</v>
      </c>
      <c r="V42" s="403" t="e">
        <f t="shared" si="23"/>
        <v>#DIV/0!</v>
      </c>
      <c r="W42" s="403" t="e">
        <f t="shared" si="24"/>
        <v>#DIV/0!</v>
      </c>
      <c r="X42" s="403" t="e">
        <f t="shared" si="25"/>
        <v>#DIV/0!</v>
      </c>
      <c r="Y42" s="403" t="e">
        <f t="shared" si="26"/>
        <v>#DIV/0!</v>
      </c>
      <c r="Z42" s="403" t="e">
        <f t="shared" si="27"/>
        <v>#DIV/0!</v>
      </c>
    </row>
    <row r="43" spans="2:26" x14ac:dyDescent="0.25">
      <c r="B43" s="402" t="e">
        <f>IRR(F43:Z43,'5'!$I$26/100)</f>
        <v>#VALUE!</v>
      </c>
      <c r="C43" s="484">
        <f t="shared" si="7"/>
        <v>0</v>
      </c>
      <c r="D43" s="402">
        <v>0.22</v>
      </c>
      <c r="E43" s="353">
        <f t="shared" si="5"/>
        <v>0</v>
      </c>
      <c r="F43" s="353">
        <f t="shared" si="4"/>
        <v>0</v>
      </c>
      <c r="G43" s="403" t="e">
        <f t="shared" si="8"/>
        <v>#DIV/0!</v>
      </c>
      <c r="H43" s="403" t="e">
        <f t="shared" si="9"/>
        <v>#DIV/0!</v>
      </c>
      <c r="I43" s="403" t="e">
        <f t="shared" si="10"/>
        <v>#DIV/0!</v>
      </c>
      <c r="J43" s="403" t="e">
        <f t="shared" si="11"/>
        <v>#DIV/0!</v>
      </c>
      <c r="K43" s="403" t="e">
        <f t="shared" si="12"/>
        <v>#DIV/0!</v>
      </c>
      <c r="L43" s="403" t="e">
        <f t="shared" si="13"/>
        <v>#DIV/0!</v>
      </c>
      <c r="M43" s="403" t="e">
        <f t="shared" si="14"/>
        <v>#DIV/0!</v>
      </c>
      <c r="N43" s="403" t="e">
        <f t="shared" si="15"/>
        <v>#DIV/0!</v>
      </c>
      <c r="O43" s="403" t="e">
        <f t="shared" si="16"/>
        <v>#DIV/0!</v>
      </c>
      <c r="P43" s="403" t="e">
        <f t="shared" si="17"/>
        <v>#DIV/0!</v>
      </c>
      <c r="Q43" s="403" t="e">
        <f t="shared" si="18"/>
        <v>#DIV/0!</v>
      </c>
      <c r="R43" s="403" t="e">
        <f t="shared" si="19"/>
        <v>#DIV/0!</v>
      </c>
      <c r="S43" s="403" t="e">
        <f t="shared" si="20"/>
        <v>#DIV/0!</v>
      </c>
      <c r="T43" s="403" t="e">
        <f t="shared" si="21"/>
        <v>#DIV/0!</v>
      </c>
      <c r="U43" s="403" t="e">
        <f t="shared" si="22"/>
        <v>#DIV/0!</v>
      </c>
      <c r="V43" s="403" t="e">
        <f t="shared" si="23"/>
        <v>#DIV/0!</v>
      </c>
      <c r="W43" s="403" t="e">
        <f t="shared" si="24"/>
        <v>#DIV/0!</v>
      </c>
      <c r="X43" s="403" t="e">
        <f t="shared" si="25"/>
        <v>#DIV/0!</v>
      </c>
      <c r="Y43" s="403" t="e">
        <f t="shared" si="26"/>
        <v>#DIV/0!</v>
      </c>
      <c r="Z43" s="403" t="e">
        <f t="shared" si="27"/>
        <v>#DIV/0!</v>
      </c>
    </row>
    <row r="44" spans="2:26" x14ac:dyDescent="0.25">
      <c r="B44" s="402" t="e">
        <f>IRR(F44:Z44,'5'!$I$26/100)</f>
        <v>#VALUE!</v>
      </c>
      <c r="C44" s="484">
        <f t="shared" si="7"/>
        <v>0</v>
      </c>
      <c r="D44" s="402">
        <v>0.23</v>
      </c>
      <c r="E44" s="353">
        <f t="shared" si="5"/>
        <v>0</v>
      </c>
      <c r="F44" s="353">
        <f t="shared" si="4"/>
        <v>0</v>
      </c>
      <c r="G44" s="403" t="e">
        <f t="shared" si="8"/>
        <v>#DIV/0!</v>
      </c>
      <c r="H44" s="403" t="e">
        <f t="shared" si="9"/>
        <v>#DIV/0!</v>
      </c>
      <c r="I44" s="403" t="e">
        <f t="shared" si="10"/>
        <v>#DIV/0!</v>
      </c>
      <c r="J44" s="403" t="e">
        <f t="shared" si="11"/>
        <v>#DIV/0!</v>
      </c>
      <c r="K44" s="403" t="e">
        <f t="shared" si="12"/>
        <v>#DIV/0!</v>
      </c>
      <c r="L44" s="403" t="e">
        <f t="shared" si="13"/>
        <v>#DIV/0!</v>
      </c>
      <c r="M44" s="403" t="e">
        <f t="shared" si="14"/>
        <v>#DIV/0!</v>
      </c>
      <c r="N44" s="403" t="e">
        <f t="shared" si="15"/>
        <v>#DIV/0!</v>
      </c>
      <c r="O44" s="403" t="e">
        <f t="shared" si="16"/>
        <v>#DIV/0!</v>
      </c>
      <c r="P44" s="403" t="e">
        <f t="shared" si="17"/>
        <v>#DIV/0!</v>
      </c>
      <c r="Q44" s="403" t="e">
        <f t="shared" si="18"/>
        <v>#DIV/0!</v>
      </c>
      <c r="R44" s="403" t="e">
        <f t="shared" si="19"/>
        <v>#DIV/0!</v>
      </c>
      <c r="S44" s="403" t="e">
        <f t="shared" si="20"/>
        <v>#DIV/0!</v>
      </c>
      <c r="T44" s="403" t="e">
        <f t="shared" si="21"/>
        <v>#DIV/0!</v>
      </c>
      <c r="U44" s="403" t="e">
        <f t="shared" si="22"/>
        <v>#DIV/0!</v>
      </c>
      <c r="V44" s="403" t="e">
        <f t="shared" si="23"/>
        <v>#DIV/0!</v>
      </c>
      <c r="W44" s="403" t="e">
        <f t="shared" si="24"/>
        <v>#DIV/0!</v>
      </c>
      <c r="X44" s="403" t="e">
        <f t="shared" si="25"/>
        <v>#DIV/0!</v>
      </c>
      <c r="Y44" s="403" t="e">
        <f t="shared" si="26"/>
        <v>#DIV/0!</v>
      </c>
      <c r="Z44" s="403" t="e">
        <f t="shared" si="27"/>
        <v>#DIV/0!</v>
      </c>
    </row>
    <row r="45" spans="2:26" x14ac:dyDescent="0.25">
      <c r="B45" s="402" t="e">
        <f>IRR(F45:Z45,'5'!$I$26/100)</f>
        <v>#VALUE!</v>
      </c>
      <c r="C45" s="484">
        <f t="shared" si="7"/>
        <v>0</v>
      </c>
      <c r="D45" s="402">
        <v>0.24</v>
      </c>
      <c r="E45" s="353">
        <f t="shared" si="5"/>
        <v>0</v>
      </c>
      <c r="F45" s="353">
        <f t="shared" si="4"/>
        <v>0</v>
      </c>
      <c r="G45" s="403" t="e">
        <f t="shared" si="8"/>
        <v>#DIV/0!</v>
      </c>
      <c r="H45" s="403" t="e">
        <f t="shared" si="9"/>
        <v>#DIV/0!</v>
      </c>
      <c r="I45" s="403" t="e">
        <f t="shared" si="10"/>
        <v>#DIV/0!</v>
      </c>
      <c r="J45" s="403" t="e">
        <f t="shared" si="11"/>
        <v>#DIV/0!</v>
      </c>
      <c r="K45" s="403" t="e">
        <f t="shared" si="12"/>
        <v>#DIV/0!</v>
      </c>
      <c r="L45" s="403" t="e">
        <f t="shared" si="13"/>
        <v>#DIV/0!</v>
      </c>
      <c r="M45" s="403" t="e">
        <f t="shared" si="14"/>
        <v>#DIV/0!</v>
      </c>
      <c r="N45" s="403" t="e">
        <f t="shared" si="15"/>
        <v>#DIV/0!</v>
      </c>
      <c r="O45" s="403" t="e">
        <f t="shared" si="16"/>
        <v>#DIV/0!</v>
      </c>
      <c r="P45" s="403" t="e">
        <f t="shared" si="17"/>
        <v>#DIV/0!</v>
      </c>
      <c r="Q45" s="403" t="e">
        <f t="shared" si="18"/>
        <v>#DIV/0!</v>
      </c>
      <c r="R45" s="403" t="e">
        <f t="shared" si="19"/>
        <v>#DIV/0!</v>
      </c>
      <c r="S45" s="403" t="e">
        <f t="shared" si="20"/>
        <v>#DIV/0!</v>
      </c>
      <c r="T45" s="403" t="e">
        <f t="shared" si="21"/>
        <v>#DIV/0!</v>
      </c>
      <c r="U45" s="403" t="e">
        <f t="shared" si="22"/>
        <v>#DIV/0!</v>
      </c>
      <c r="V45" s="403" t="e">
        <f t="shared" si="23"/>
        <v>#DIV/0!</v>
      </c>
      <c r="W45" s="403" t="e">
        <f t="shared" si="24"/>
        <v>#DIV/0!</v>
      </c>
      <c r="X45" s="403" t="e">
        <f t="shared" si="25"/>
        <v>#DIV/0!</v>
      </c>
      <c r="Y45" s="403" t="e">
        <f t="shared" si="26"/>
        <v>#DIV/0!</v>
      </c>
      <c r="Z45" s="403" t="e">
        <f t="shared" si="27"/>
        <v>#DIV/0!</v>
      </c>
    </row>
    <row r="46" spans="2:26" x14ac:dyDescent="0.25">
      <c r="B46" s="402" t="e">
        <f>IRR(F46:Z46,'5'!$I$26/100)</f>
        <v>#VALUE!</v>
      </c>
      <c r="C46" s="484">
        <f t="shared" si="7"/>
        <v>0</v>
      </c>
      <c r="D46" s="402">
        <v>0.25</v>
      </c>
      <c r="E46" s="353">
        <f t="shared" si="5"/>
        <v>0</v>
      </c>
      <c r="F46" s="353">
        <f t="shared" si="4"/>
        <v>0</v>
      </c>
      <c r="G46" s="403" t="e">
        <f t="shared" si="8"/>
        <v>#DIV/0!</v>
      </c>
      <c r="H46" s="403" t="e">
        <f t="shared" si="9"/>
        <v>#DIV/0!</v>
      </c>
      <c r="I46" s="403" t="e">
        <f t="shared" si="10"/>
        <v>#DIV/0!</v>
      </c>
      <c r="J46" s="403" t="e">
        <f t="shared" si="11"/>
        <v>#DIV/0!</v>
      </c>
      <c r="K46" s="403" t="e">
        <f t="shared" si="12"/>
        <v>#DIV/0!</v>
      </c>
      <c r="L46" s="403" t="e">
        <f t="shared" si="13"/>
        <v>#DIV/0!</v>
      </c>
      <c r="M46" s="403" t="e">
        <f t="shared" si="14"/>
        <v>#DIV/0!</v>
      </c>
      <c r="N46" s="403" t="e">
        <f t="shared" si="15"/>
        <v>#DIV/0!</v>
      </c>
      <c r="O46" s="403" t="e">
        <f t="shared" si="16"/>
        <v>#DIV/0!</v>
      </c>
      <c r="P46" s="403" t="e">
        <f t="shared" si="17"/>
        <v>#DIV/0!</v>
      </c>
      <c r="Q46" s="403" t="e">
        <f t="shared" si="18"/>
        <v>#DIV/0!</v>
      </c>
      <c r="R46" s="403" t="e">
        <f t="shared" si="19"/>
        <v>#DIV/0!</v>
      </c>
      <c r="S46" s="403" t="e">
        <f t="shared" si="20"/>
        <v>#DIV/0!</v>
      </c>
      <c r="T46" s="403" t="e">
        <f t="shared" si="21"/>
        <v>#DIV/0!</v>
      </c>
      <c r="U46" s="403" t="e">
        <f t="shared" si="22"/>
        <v>#DIV/0!</v>
      </c>
      <c r="V46" s="403" t="e">
        <f t="shared" si="23"/>
        <v>#DIV/0!</v>
      </c>
      <c r="W46" s="403" t="e">
        <f t="shared" si="24"/>
        <v>#DIV/0!</v>
      </c>
      <c r="X46" s="403" t="e">
        <f t="shared" si="25"/>
        <v>#DIV/0!</v>
      </c>
      <c r="Y46" s="403" t="e">
        <f t="shared" si="26"/>
        <v>#DIV/0!</v>
      </c>
      <c r="Z46" s="403" t="e">
        <f t="shared" si="27"/>
        <v>#DIV/0!</v>
      </c>
    </row>
    <row r="47" spans="2:26" x14ac:dyDescent="0.25">
      <c r="B47" s="402" t="e">
        <f>IRR(F47:Z47,'5'!$I$26/100)</f>
        <v>#VALUE!</v>
      </c>
      <c r="C47" s="484">
        <f t="shared" si="7"/>
        <v>0</v>
      </c>
      <c r="D47" s="402">
        <v>0.26</v>
      </c>
      <c r="E47" s="353">
        <f t="shared" si="5"/>
        <v>0</v>
      </c>
      <c r="F47" s="353">
        <f t="shared" si="4"/>
        <v>0</v>
      </c>
      <c r="G47" s="403" t="e">
        <f t="shared" si="8"/>
        <v>#DIV/0!</v>
      </c>
      <c r="H47" s="403" t="e">
        <f t="shared" si="9"/>
        <v>#DIV/0!</v>
      </c>
      <c r="I47" s="403" t="e">
        <f t="shared" si="10"/>
        <v>#DIV/0!</v>
      </c>
      <c r="J47" s="403" t="e">
        <f t="shared" si="11"/>
        <v>#DIV/0!</v>
      </c>
      <c r="K47" s="403" t="e">
        <f t="shared" si="12"/>
        <v>#DIV/0!</v>
      </c>
      <c r="L47" s="403" t="e">
        <f t="shared" si="13"/>
        <v>#DIV/0!</v>
      </c>
      <c r="M47" s="403" t="e">
        <f t="shared" si="14"/>
        <v>#DIV/0!</v>
      </c>
      <c r="N47" s="403" t="e">
        <f t="shared" si="15"/>
        <v>#DIV/0!</v>
      </c>
      <c r="O47" s="403" t="e">
        <f t="shared" si="16"/>
        <v>#DIV/0!</v>
      </c>
      <c r="P47" s="403" t="e">
        <f t="shared" si="17"/>
        <v>#DIV/0!</v>
      </c>
      <c r="Q47" s="403" t="e">
        <f t="shared" si="18"/>
        <v>#DIV/0!</v>
      </c>
      <c r="R47" s="403" t="e">
        <f t="shared" si="19"/>
        <v>#DIV/0!</v>
      </c>
      <c r="S47" s="403" t="e">
        <f t="shared" si="20"/>
        <v>#DIV/0!</v>
      </c>
      <c r="T47" s="403" t="e">
        <f t="shared" si="21"/>
        <v>#DIV/0!</v>
      </c>
      <c r="U47" s="403" t="e">
        <f t="shared" si="22"/>
        <v>#DIV/0!</v>
      </c>
      <c r="V47" s="403" t="e">
        <f t="shared" si="23"/>
        <v>#DIV/0!</v>
      </c>
      <c r="W47" s="403" t="e">
        <f t="shared" si="24"/>
        <v>#DIV/0!</v>
      </c>
      <c r="X47" s="403" t="e">
        <f t="shared" si="25"/>
        <v>#DIV/0!</v>
      </c>
      <c r="Y47" s="403" t="e">
        <f t="shared" si="26"/>
        <v>#DIV/0!</v>
      </c>
      <c r="Z47" s="403" t="e">
        <f t="shared" si="27"/>
        <v>#DIV/0!</v>
      </c>
    </row>
    <row r="48" spans="2:26" x14ac:dyDescent="0.25">
      <c r="B48" s="402" t="e">
        <f>IRR(F48:Z48,'5'!$I$26/100)</f>
        <v>#VALUE!</v>
      </c>
      <c r="C48" s="484">
        <f t="shared" si="7"/>
        <v>0</v>
      </c>
      <c r="D48" s="402">
        <v>0.27</v>
      </c>
      <c r="E48" s="353">
        <f t="shared" si="5"/>
        <v>0</v>
      </c>
      <c r="F48" s="353">
        <f t="shared" si="4"/>
        <v>0</v>
      </c>
      <c r="G48" s="403" t="e">
        <f t="shared" si="8"/>
        <v>#DIV/0!</v>
      </c>
      <c r="H48" s="403" t="e">
        <f t="shared" si="9"/>
        <v>#DIV/0!</v>
      </c>
      <c r="I48" s="403" t="e">
        <f t="shared" si="10"/>
        <v>#DIV/0!</v>
      </c>
      <c r="J48" s="403" t="e">
        <f t="shared" si="11"/>
        <v>#DIV/0!</v>
      </c>
      <c r="K48" s="403" t="e">
        <f t="shared" si="12"/>
        <v>#DIV/0!</v>
      </c>
      <c r="L48" s="403" t="e">
        <f t="shared" si="13"/>
        <v>#DIV/0!</v>
      </c>
      <c r="M48" s="403" t="e">
        <f t="shared" si="14"/>
        <v>#DIV/0!</v>
      </c>
      <c r="N48" s="403" t="e">
        <f t="shared" si="15"/>
        <v>#DIV/0!</v>
      </c>
      <c r="O48" s="403" t="e">
        <f t="shared" si="16"/>
        <v>#DIV/0!</v>
      </c>
      <c r="P48" s="403" t="e">
        <f t="shared" si="17"/>
        <v>#DIV/0!</v>
      </c>
      <c r="Q48" s="403" t="e">
        <f t="shared" si="18"/>
        <v>#DIV/0!</v>
      </c>
      <c r="R48" s="403" t="e">
        <f t="shared" si="19"/>
        <v>#DIV/0!</v>
      </c>
      <c r="S48" s="403" t="e">
        <f t="shared" si="20"/>
        <v>#DIV/0!</v>
      </c>
      <c r="T48" s="403" t="e">
        <f t="shared" si="21"/>
        <v>#DIV/0!</v>
      </c>
      <c r="U48" s="403" t="e">
        <f t="shared" si="22"/>
        <v>#DIV/0!</v>
      </c>
      <c r="V48" s="403" t="e">
        <f t="shared" si="23"/>
        <v>#DIV/0!</v>
      </c>
      <c r="W48" s="403" t="e">
        <f t="shared" si="24"/>
        <v>#DIV/0!</v>
      </c>
      <c r="X48" s="403" t="e">
        <f t="shared" si="25"/>
        <v>#DIV/0!</v>
      </c>
      <c r="Y48" s="403" t="e">
        <f t="shared" si="26"/>
        <v>#DIV/0!</v>
      </c>
      <c r="Z48" s="403" t="e">
        <f t="shared" si="27"/>
        <v>#DIV/0!</v>
      </c>
    </row>
    <row r="49" spans="2:26" x14ac:dyDescent="0.25">
      <c r="B49" s="402" t="e">
        <f>IRR(F49:Z49,'5'!$I$26/100)</f>
        <v>#VALUE!</v>
      </c>
      <c r="C49" s="484">
        <f t="shared" si="7"/>
        <v>0</v>
      </c>
      <c r="D49" s="402">
        <v>0.28000000000000003</v>
      </c>
      <c r="E49" s="353">
        <f t="shared" si="5"/>
        <v>0</v>
      </c>
      <c r="F49" s="353">
        <f t="shared" si="4"/>
        <v>0</v>
      </c>
      <c r="G49" s="403" t="e">
        <f t="shared" si="8"/>
        <v>#DIV/0!</v>
      </c>
      <c r="H49" s="403" t="e">
        <f t="shared" si="9"/>
        <v>#DIV/0!</v>
      </c>
      <c r="I49" s="403" t="e">
        <f t="shared" si="10"/>
        <v>#DIV/0!</v>
      </c>
      <c r="J49" s="403" t="e">
        <f t="shared" si="11"/>
        <v>#DIV/0!</v>
      </c>
      <c r="K49" s="403" t="e">
        <f t="shared" si="12"/>
        <v>#DIV/0!</v>
      </c>
      <c r="L49" s="403" t="e">
        <f t="shared" si="13"/>
        <v>#DIV/0!</v>
      </c>
      <c r="M49" s="403" t="e">
        <f t="shared" si="14"/>
        <v>#DIV/0!</v>
      </c>
      <c r="N49" s="403" t="e">
        <f t="shared" si="15"/>
        <v>#DIV/0!</v>
      </c>
      <c r="O49" s="403" t="e">
        <f t="shared" si="16"/>
        <v>#DIV/0!</v>
      </c>
      <c r="P49" s="403" t="e">
        <f t="shared" si="17"/>
        <v>#DIV/0!</v>
      </c>
      <c r="Q49" s="403" t="e">
        <f t="shared" si="18"/>
        <v>#DIV/0!</v>
      </c>
      <c r="R49" s="403" t="e">
        <f t="shared" si="19"/>
        <v>#DIV/0!</v>
      </c>
      <c r="S49" s="403" t="e">
        <f t="shared" si="20"/>
        <v>#DIV/0!</v>
      </c>
      <c r="T49" s="403" t="e">
        <f t="shared" si="21"/>
        <v>#DIV/0!</v>
      </c>
      <c r="U49" s="403" t="e">
        <f t="shared" si="22"/>
        <v>#DIV/0!</v>
      </c>
      <c r="V49" s="403" t="e">
        <f t="shared" si="23"/>
        <v>#DIV/0!</v>
      </c>
      <c r="W49" s="403" t="e">
        <f t="shared" si="24"/>
        <v>#DIV/0!</v>
      </c>
      <c r="X49" s="403" t="e">
        <f t="shared" si="25"/>
        <v>#DIV/0!</v>
      </c>
      <c r="Y49" s="403" t="e">
        <f t="shared" si="26"/>
        <v>#DIV/0!</v>
      </c>
      <c r="Z49" s="403" t="e">
        <f t="shared" si="27"/>
        <v>#DIV/0!</v>
      </c>
    </row>
    <row r="50" spans="2:26" x14ac:dyDescent="0.25">
      <c r="B50" s="402" t="e">
        <f>IRR(F50:Z50,'5'!$I$26/100)</f>
        <v>#VALUE!</v>
      </c>
      <c r="C50" s="484">
        <f t="shared" si="7"/>
        <v>0</v>
      </c>
      <c r="D50" s="402">
        <v>0.28999999999999998</v>
      </c>
      <c r="E50" s="353">
        <f t="shared" si="5"/>
        <v>0</v>
      </c>
      <c r="F50" s="353">
        <f t="shared" si="4"/>
        <v>0</v>
      </c>
      <c r="G50" s="403" t="e">
        <f t="shared" si="8"/>
        <v>#DIV/0!</v>
      </c>
      <c r="H50" s="403" t="e">
        <f t="shared" si="9"/>
        <v>#DIV/0!</v>
      </c>
      <c r="I50" s="403" t="e">
        <f t="shared" si="10"/>
        <v>#DIV/0!</v>
      </c>
      <c r="J50" s="403" t="e">
        <f t="shared" si="11"/>
        <v>#DIV/0!</v>
      </c>
      <c r="K50" s="403" t="e">
        <f t="shared" si="12"/>
        <v>#DIV/0!</v>
      </c>
      <c r="L50" s="403" t="e">
        <f t="shared" si="13"/>
        <v>#DIV/0!</v>
      </c>
      <c r="M50" s="403" t="e">
        <f t="shared" si="14"/>
        <v>#DIV/0!</v>
      </c>
      <c r="N50" s="403" t="e">
        <f t="shared" si="15"/>
        <v>#DIV/0!</v>
      </c>
      <c r="O50" s="403" t="e">
        <f t="shared" si="16"/>
        <v>#DIV/0!</v>
      </c>
      <c r="P50" s="403" t="e">
        <f t="shared" si="17"/>
        <v>#DIV/0!</v>
      </c>
      <c r="Q50" s="403" t="e">
        <f t="shared" si="18"/>
        <v>#DIV/0!</v>
      </c>
      <c r="R50" s="403" t="e">
        <f t="shared" si="19"/>
        <v>#DIV/0!</v>
      </c>
      <c r="S50" s="403" t="e">
        <f t="shared" si="20"/>
        <v>#DIV/0!</v>
      </c>
      <c r="T50" s="403" t="e">
        <f t="shared" si="21"/>
        <v>#DIV/0!</v>
      </c>
      <c r="U50" s="403" t="e">
        <f t="shared" si="22"/>
        <v>#DIV/0!</v>
      </c>
      <c r="V50" s="403" t="e">
        <f t="shared" si="23"/>
        <v>#DIV/0!</v>
      </c>
      <c r="W50" s="403" t="e">
        <f t="shared" si="24"/>
        <v>#DIV/0!</v>
      </c>
      <c r="X50" s="403" t="e">
        <f t="shared" si="25"/>
        <v>#DIV/0!</v>
      </c>
      <c r="Y50" s="403" t="e">
        <f t="shared" si="26"/>
        <v>#DIV/0!</v>
      </c>
      <c r="Z50" s="403" t="e">
        <f t="shared" si="27"/>
        <v>#DIV/0!</v>
      </c>
    </row>
    <row r="51" spans="2:26" x14ac:dyDescent="0.25">
      <c r="B51" s="402" t="e">
        <f>IRR(F51:Z51,'5'!$I$26/100)</f>
        <v>#VALUE!</v>
      </c>
      <c r="C51" s="484">
        <f t="shared" si="7"/>
        <v>0</v>
      </c>
      <c r="D51" s="402">
        <v>0.3</v>
      </c>
      <c r="E51" s="353">
        <f t="shared" si="5"/>
        <v>0</v>
      </c>
      <c r="F51" s="353">
        <f t="shared" si="4"/>
        <v>0</v>
      </c>
      <c r="G51" s="403" t="e">
        <f t="shared" si="8"/>
        <v>#DIV/0!</v>
      </c>
      <c r="H51" s="403" t="e">
        <f t="shared" si="9"/>
        <v>#DIV/0!</v>
      </c>
      <c r="I51" s="403" t="e">
        <f t="shared" si="10"/>
        <v>#DIV/0!</v>
      </c>
      <c r="J51" s="403" t="e">
        <f t="shared" si="11"/>
        <v>#DIV/0!</v>
      </c>
      <c r="K51" s="403" t="e">
        <f t="shared" si="12"/>
        <v>#DIV/0!</v>
      </c>
      <c r="L51" s="403" t="e">
        <f t="shared" si="13"/>
        <v>#DIV/0!</v>
      </c>
      <c r="M51" s="403" t="e">
        <f t="shared" si="14"/>
        <v>#DIV/0!</v>
      </c>
      <c r="N51" s="403" t="e">
        <f t="shared" si="15"/>
        <v>#DIV/0!</v>
      </c>
      <c r="O51" s="403" t="e">
        <f t="shared" si="16"/>
        <v>#DIV/0!</v>
      </c>
      <c r="P51" s="403" t="e">
        <f t="shared" si="17"/>
        <v>#DIV/0!</v>
      </c>
      <c r="Q51" s="403" t="e">
        <f t="shared" si="18"/>
        <v>#DIV/0!</v>
      </c>
      <c r="R51" s="403" t="e">
        <f t="shared" si="19"/>
        <v>#DIV/0!</v>
      </c>
      <c r="S51" s="403" t="e">
        <f t="shared" si="20"/>
        <v>#DIV/0!</v>
      </c>
      <c r="T51" s="403" t="e">
        <f t="shared" si="21"/>
        <v>#DIV/0!</v>
      </c>
      <c r="U51" s="403" t="e">
        <f t="shared" si="22"/>
        <v>#DIV/0!</v>
      </c>
      <c r="V51" s="403" t="e">
        <f t="shared" si="23"/>
        <v>#DIV/0!</v>
      </c>
      <c r="W51" s="403" t="e">
        <f t="shared" si="24"/>
        <v>#DIV/0!</v>
      </c>
      <c r="X51" s="403" t="e">
        <f t="shared" si="25"/>
        <v>#DIV/0!</v>
      </c>
      <c r="Y51" s="403" t="e">
        <f t="shared" si="26"/>
        <v>#DIV/0!</v>
      </c>
      <c r="Z51" s="403" t="e">
        <f t="shared" si="27"/>
        <v>#DIV/0!</v>
      </c>
    </row>
    <row r="52" spans="2:26" x14ac:dyDescent="0.25">
      <c r="B52" s="402" t="e">
        <f>IRR(F52:Z52,'5'!$I$26/100)</f>
        <v>#VALUE!</v>
      </c>
      <c r="C52" s="484">
        <f t="shared" si="7"/>
        <v>0</v>
      </c>
      <c r="D52" s="402">
        <v>0.31</v>
      </c>
      <c r="E52" s="353">
        <f t="shared" si="5"/>
        <v>0</v>
      </c>
      <c r="F52" s="353">
        <f t="shared" si="4"/>
        <v>0</v>
      </c>
      <c r="G52" s="403" t="e">
        <f t="shared" si="8"/>
        <v>#DIV/0!</v>
      </c>
      <c r="H52" s="403" t="e">
        <f t="shared" si="9"/>
        <v>#DIV/0!</v>
      </c>
      <c r="I52" s="403" t="e">
        <f t="shared" si="10"/>
        <v>#DIV/0!</v>
      </c>
      <c r="J52" s="403" t="e">
        <f t="shared" si="11"/>
        <v>#DIV/0!</v>
      </c>
      <c r="K52" s="403" t="e">
        <f t="shared" si="12"/>
        <v>#DIV/0!</v>
      </c>
      <c r="L52" s="403" t="e">
        <f t="shared" si="13"/>
        <v>#DIV/0!</v>
      </c>
      <c r="M52" s="403" t="e">
        <f t="shared" si="14"/>
        <v>#DIV/0!</v>
      </c>
      <c r="N52" s="403" t="e">
        <f t="shared" si="15"/>
        <v>#DIV/0!</v>
      </c>
      <c r="O52" s="403" t="e">
        <f t="shared" si="16"/>
        <v>#DIV/0!</v>
      </c>
      <c r="P52" s="403" t="e">
        <f t="shared" si="17"/>
        <v>#DIV/0!</v>
      </c>
      <c r="Q52" s="403" t="e">
        <f t="shared" si="18"/>
        <v>#DIV/0!</v>
      </c>
      <c r="R52" s="403" t="e">
        <f t="shared" si="19"/>
        <v>#DIV/0!</v>
      </c>
      <c r="S52" s="403" t="e">
        <f t="shared" si="20"/>
        <v>#DIV/0!</v>
      </c>
      <c r="T52" s="403" t="e">
        <f t="shared" si="21"/>
        <v>#DIV/0!</v>
      </c>
      <c r="U52" s="403" t="e">
        <f t="shared" si="22"/>
        <v>#DIV/0!</v>
      </c>
      <c r="V52" s="403" t="e">
        <f t="shared" si="23"/>
        <v>#DIV/0!</v>
      </c>
      <c r="W52" s="403" t="e">
        <f t="shared" si="24"/>
        <v>#DIV/0!</v>
      </c>
      <c r="X52" s="403" t="e">
        <f t="shared" si="25"/>
        <v>#DIV/0!</v>
      </c>
      <c r="Y52" s="403" t="e">
        <f t="shared" si="26"/>
        <v>#DIV/0!</v>
      </c>
      <c r="Z52" s="403" t="e">
        <f t="shared" si="27"/>
        <v>#DIV/0!</v>
      </c>
    </row>
    <row r="53" spans="2:26" x14ac:dyDescent="0.25">
      <c r="B53" s="402" t="e">
        <f>IRR(F53:Z53,'5'!$I$26/100)</f>
        <v>#VALUE!</v>
      </c>
      <c r="C53" s="484">
        <f t="shared" si="7"/>
        <v>0</v>
      </c>
      <c r="D53" s="402">
        <v>0.32</v>
      </c>
      <c r="E53" s="353">
        <f t="shared" si="5"/>
        <v>0</v>
      </c>
      <c r="F53" s="353">
        <f t="shared" ref="F53:F84" si="28">$C$21+E53</f>
        <v>0</v>
      </c>
      <c r="G53" s="403" t="e">
        <f t="shared" si="8"/>
        <v>#DIV/0!</v>
      </c>
      <c r="H53" s="403" t="e">
        <f t="shared" si="9"/>
        <v>#DIV/0!</v>
      </c>
      <c r="I53" s="403" t="e">
        <f t="shared" si="10"/>
        <v>#DIV/0!</v>
      </c>
      <c r="J53" s="403" t="e">
        <f t="shared" si="11"/>
        <v>#DIV/0!</v>
      </c>
      <c r="K53" s="403" t="e">
        <f t="shared" si="12"/>
        <v>#DIV/0!</v>
      </c>
      <c r="L53" s="403" t="e">
        <f t="shared" si="13"/>
        <v>#DIV/0!</v>
      </c>
      <c r="M53" s="403" t="e">
        <f t="shared" si="14"/>
        <v>#DIV/0!</v>
      </c>
      <c r="N53" s="403" t="e">
        <f t="shared" si="15"/>
        <v>#DIV/0!</v>
      </c>
      <c r="O53" s="403" t="e">
        <f t="shared" si="16"/>
        <v>#DIV/0!</v>
      </c>
      <c r="P53" s="403" t="e">
        <f t="shared" si="17"/>
        <v>#DIV/0!</v>
      </c>
      <c r="Q53" s="403" t="e">
        <f t="shared" si="18"/>
        <v>#DIV/0!</v>
      </c>
      <c r="R53" s="403" t="e">
        <f t="shared" si="19"/>
        <v>#DIV/0!</v>
      </c>
      <c r="S53" s="403" t="e">
        <f t="shared" si="20"/>
        <v>#DIV/0!</v>
      </c>
      <c r="T53" s="403" t="e">
        <f t="shared" si="21"/>
        <v>#DIV/0!</v>
      </c>
      <c r="U53" s="403" t="e">
        <f t="shared" si="22"/>
        <v>#DIV/0!</v>
      </c>
      <c r="V53" s="403" t="e">
        <f t="shared" si="23"/>
        <v>#DIV/0!</v>
      </c>
      <c r="W53" s="403" t="e">
        <f t="shared" si="24"/>
        <v>#DIV/0!</v>
      </c>
      <c r="X53" s="403" t="e">
        <f t="shared" si="25"/>
        <v>#DIV/0!</v>
      </c>
      <c r="Y53" s="403" t="e">
        <f t="shared" si="26"/>
        <v>#DIV/0!</v>
      </c>
      <c r="Z53" s="403" t="e">
        <f t="shared" si="27"/>
        <v>#DIV/0!</v>
      </c>
    </row>
    <row r="54" spans="2:26" x14ac:dyDescent="0.25">
      <c r="B54" s="402" t="e">
        <f>IRR(F54:Z54,'5'!$I$26/100)</f>
        <v>#VALUE!</v>
      </c>
      <c r="C54" s="484">
        <f t="shared" si="7"/>
        <v>0</v>
      </c>
      <c r="D54" s="402">
        <v>0.33</v>
      </c>
      <c r="E54" s="353">
        <f t="shared" ref="E54:E85" si="29">-$C$21*D54</f>
        <v>0</v>
      </c>
      <c r="F54" s="353">
        <f t="shared" si="28"/>
        <v>0</v>
      </c>
      <c r="G54" s="403" t="e">
        <f t="shared" si="8"/>
        <v>#DIV/0!</v>
      </c>
      <c r="H54" s="403" t="e">
        <f t="shared" si="9"/>
        <v>#DIV/0!</v>
      </c>
      <c r="I54" s="403" t="e">
        <f t="shared" si="10"/>
        <v>#DIV/0!</v>
      </c>
      <c r="J54" s="403" t="e">
        <f t="shared" si="11"/>
        <v>#DIV/0!</v>
      </c>
      <c r="K54" s="403" t="e">
        <f t="shared" si="12"/>
        <v>#DIV/0!</v>
      </c>
      <c r="L54" s="403" t="e">
        <f t="shared" si="13"/>
        <v>#DIV/0!</v>
      </c>
      <c r="M54" s="403" t="e">
        <f t="shared" si="14"/>
        <v>#DIV/0!</v>
      </c>
      <c r="N54" s="403" t="e">
        <f t="shared" si="15"/>
        <v>#DIV/0!</v>
      </c>
      <c r="O54" s="403" t="e">
        <f t="shared" si="16"/>
        <v>#DIV/0!</v>
      </c>
      <c r="P54" s="403" t="e">
        <f t="shared" si="17"/>
        <v>#DIV/0!</v>
      </c>
      <c r="Q54" s="403" t="e">
        <f t="shared" si="18"/>
        <v>#DIV/0!</v>
      </c>
      <c r="R54" s="403" t="e">
        <f t="shared" si="19"/>
        <v>#DIV/0!</v>
      </c>
      <c r="S54" s="403" t="e">
        <f t="shared" si="20"/>
        <v>#DIV/0!</v>
      </c>
      <c r="T54" s="403" t="e">
        <f t="shared" si="21"/>
        <v>#DIV/0!</v>
      </c>
      <c r="U54" s="403" t="e">
        <f t="shared" si="22"/>
        <v>#DIV/0!</v>
      </c>
      <c r="V54" s="403" t="e">
        <f t="shared" si="23"/>
        <v>#DIV/0!</v>
      </c>
      <c r="W54" s="403" t="e">
        <f t="shared" si="24"/>
        <v>#DIV/0!</v>
      </c>
      <c r="X54" s="403" t="e">
        <f t="shared" si="25"/>
        <v>#DIV/0!</v>
      </c>
      <c r="Y54" s="403" t="e">
        <f t="shared" si="26"/>
        <v>#DIV/0!</v>
      </c>
      <c r="Z54" s="403" t="e">
        <f t="shared" si="27"/>
        <v>#DIV/0!</v>
      </c>
    </row>
    <row r="55" spans="2:26" x14ac:dyDescent="0.25">
      <c r="B55" s="402" t="e">
        <f>IRR(F55:Z55,'5'!$I$26/100)</f>
        <v>#VALUE!</v>
      </c>
      <c r="C55" s="484">
        <f t="shared" si="7"/>
        <v>0</v>
      </c>
      <c r="D55" s="402">
        <v>0.34</v>
      </c>
      <c r="E55" s="353">
        <f t="shared" si="29"/>
        <v>0</v>
      </c>
      <c r="F55" s="353">
        <f t="shared" si="28"/>
        <v>0</v>
      </c>
      <c r="G55" s="403" t="e">
        <f t="shared" si="8"/>
        <v>#DIV/0!</v>
      </c>
      <c r="H55" s="403" t="e">
        <f t="shared" si="9"/>
        <v>#DIV/0!</v>
      </c>
      <c r="I55" s="403" t="e">
        <f t="shared" si="10"/>
        <v>#DIV/0!</v>
      </c>
      <c r="J55" s="403" t="e">
        <f t="shared" si="11"/>
        <v>#DIV/0!</v>
      </c>
      <c r="K55" s="403" t="e">
        <f t="shared" si="12"/>
        <v>#DIV/0!</v>
      </c>
      <c r="L55" s="403" t="e">
        <f t="shared" si="13"/>
        <v>#DIV/0!</v>
      </c>
      <c r="M55" s="403" t="e">
        <f t="shared" si="14"/>
        <v>#DIV/0!</v>
      </c>
      <c r="N55" s="403" t="e">
        <f t="shared" si="15"/>
        <v>#DIV/0!</v>
      </c>
      <c r="O55" s="403" t="e">
        <f t="shared" si="16"/>
        <v>#DIV/0!</v>
      </c>
      <c r="P55" s="403" t="e">
        <f t="shared" si="17"/>
        <v>#DIV/0!</v>
      </c>
      <c r="Q55" s="403" t="e">
        <f t="shared" si="18"/>
        <v>#DIV/0!</v>
      </c>
      <c r="R55" s="403" t="e">
        <f t="shared" si="19"/>
        <v>#DIV/0!</v>
      </c>
      <c r="S55" s="403" t="e">
        <f t="shared" si="20"/>
        <v>#DIV/0!</v>
      </c>
      <c r="T55" s="403" t="e">
        <f t="shared" si="21"/>
        <v>#DIV/0!</v>
      </c>
      <c r="U55" s="403" t="e">
        <f t="shared" si="22"/>
        <v>#DIV/0!</v>
      </c>
      <c r="V55" s="403" t="e">
        <f t="shared" si="23"/>
        <v>#DIV/0!</v>
      </c>
      <c r="W55" s="403" t="e">
        <f t="shared" si="24"/>
        <v>#DIV/0!</v>
      </c>
      <c r="X55" s="403" t="e">
        <f t="shared" si="25"/>
        <v>#DIV/0!</v>
      </c>
      <c r="Y55" s="403" t="e">
        <f t="shared" si="26"/>
        <v>#DIV/0!</v>
      </c>
      <c r="Z55" s="403" t="e">
        <f t="shared" si="27"/>
        <v>#DIV/0!</v>
      </c>
    </row>
    <row r="56" spans="2:26" x14ac:dyDescent="0.25">
      <c r="B56" s="402" t="e">
        <f>IRR(F56:Z56,'5'!$I$26/100)</f>
        <v>#VALUE!</v>
      </c>
      <c r="C56" s="484">
        <f t="shared" si="7"/>
        <v>0</v>
      </c>
      <c r="D56" s="402">
        <v>0.35</v>
      </c>
      <c r="E56" s="353">
        <f t="shared" si="29"/>
        <v>0</v>
      </c>
      <c r="F56" s="353">
        <f t="shared" si="28"/>
        <v>0</v>
      </c>
      <c r="G56" s="403" t="e">
        <f t="shared" si="8"/>
        <v>#DIV/0!</v>
      </c>
      <c r="H56" s="403" t="e">
        <f t="shared" si="9"/>
        <v>#DIV/0!</v>
      </c>
      <c r="I56" s="403" t="e">
        <f t="shared" si="10"/>
        <v>#DIV/0!</v>
      </c>
      <c r="J56" s="403" t="e">
        <f t="shared" si="11"/>
        <v>#DIV/0!</v>
      </c>
      <c r="K56" s="403" t="e">
        <f t="shared" si="12"/>
        <v>#DIV/0!</v>
      </c>
      <c r="L56" s="403" t="e">
        <f t="shared" si="13"/>
        <v>#DIV/0!</v>
      </c>
      <c r="M56" s="403" t="e">
        <f t="shared" si="14"/>
        <v>#DIV/0!</v>
      </c>
      <c r="N56" s="403" t="e">
        <f t="shared" si="15"/>
        <v>#DIV/0!</v>
      </c>
      <c r="O56" s="403" t="e">
        <f t="shared" si="16"/>
        <v>#DIV/0!</v>
      </c>
      <c r="P56" s="403" t="e">
        <f t="shared" si="17"/>
        <v>#DIV/0!</v>
      </c>
      <c r="Q56" s="403" t="e">
        <f t="shared" si="18"/>
        <v>#DIV/0!</v>
      </c>
      <c r="R56" s="403" t="e">
        <f t="shared" si="19"/>
        <v>#DIV/0!</v>
      </c>
      <c r="S56" s="403" t="e">
        <f t="shared" si="20"/>
        <v>#DIV/0!</v>
      </c>
      <c r="T56" s="403" t="e">
        <f t="shared" si="21"/>
        <v>#DIV/0!</v>
      </c>
      <c r="U56" s="403" t="e">
        <f t="shared" si="22"/>
        <v>#DIV/0!</v>
      </c>
      <c r="V56" s="403" t="e">
        <f t="shared" si="23"/>
        <v>#DIV/0!</v>
      </c>
      <c r="W56" s="403" t="e">
        <f t="shared" si="24"/>
        <v>#DIV/0!</v>
      </c>
      <c r="X56" s="403" t="e">
        <f t="shared" si="25"/>
        <v>#DIV/0!</v>
      </c>
      <c r="Y56" s="403" t="e">
        <f t="shared" si="26"/>
        <v>#DIV/0!</v>
      </c>
      <c r="Z56" s="403" t="e">
        <f t="shared" si="27"/>
        <v>#DIV/0!</v>
      </c>
    </row>
    <row r="57" spans="2:26" x14ac:dyDescent="0.25">
      <c r="B57" s="402" t="e">
        <f>IRR(F57:Z57,'5'!$I$26/100)</f>
        <v>#VALUE!</v>
      </c>
      <c r="C57" s="484">
        <f t="shared" si="7"/>
        <v>0</v>
      </c>
      <c r="D57" s="402">
        <v>0.36</v>
      </c>
      <c r="E57" s="353">
        <f t="shared" si="29"/>
        <v>0</v>
      </c>
      <c r="F57" s="353">
        <f t="shared" si="28"/>
        <v>0</v>
      </c>
      <c r="G57" s="403" t="e">
        <f t="shared" si="8"/>
        <v>#DIV/0!</v>
      </c>
      <c r="H57" s="403" t="e">
        <f t="shared" si="9"/>
        <v>#DIV/0!</v>
      </c>
      <c r="I57" s="403" t="e">
        <f t="shared" si="10"/>
        <v>#DIV/0!</v>
      </c>
      <c r="J57" s="403" t="e">
        <f t="shared" si="11"/>
        <v>#DIV/0!</v>
      </c>
      <c r="K57" s="403" t="e">
        <f t="shared" si="12"/>
        <v>#DIV/0!</v>
      </c>
      <c r="L57" s="403" t="e">
        <f t="shared" si="13"/>
        <v>#DIV/0!</v>
      </c>
      <c r="M57" s="403" t="e">
        <f t="shared" si="14"/>
        <v>#DIV/0!</v>
      </c>
      <c r="N57" s="403" t="e">
        <f t="shared" si="15"/>
        <v>#DIV/0!</v>
      </c>
      <c r="O57" s="403" t="e">
        <f t="shared" si="16"/>
        <v>#DIV/0!</v>
      </c>
      <c r="P57" s="403" t="e">
        <f t="shared" si="17"/>
        <v>#DIV/0!</v>
      </c>
      <c r="Q57" s="403" t="e">
        <f t="shared" si="18"/>
        <v>#DIV/0!</v>
      </c>
      <c r="R57" s="403" t="e">
        <f t="shared" si="19"/>
        <v>#DIV/0!</v>
      </c>
      <c r="S57" s="403" t="e">
        <f t="shared" si="20"/>
        <v>#DIV/0!</v>
      </c>
      <c r="T57" s="403" t="e">
        <f t="shared" si="21"/>
        <v>#DIV/0!</v>
      </c>
      <c r="U57" s="403" t="e">
        <f t="shared" si="22"/>
        <v>#DIV/0!</v>
      </c>
      <c r="V57" s="403" t="e">
        <f t="shared" si="23"/>
        <v>#DIV/0!</v>
      </c>
      <c r="W57" s="403" t="e">
        <f t="shared" si="24"/>
        <v>#DIV/0!</v>
      </c>
      <c r="X57" s="403" t="e">
        <f t="shared" si="25"/>
        <v>#DIV/0!</v>
      </c>
      <c r="Y57" s="403" t="e">
        <f t="shared" si="26"/>
        <v>#DIV/0!</v>
      </c>
      <c r="Z57" s="403" t="e">
        <f t="shared" si="27"/>
        <v>#DIV/0!</v>
      </c>
    </row>
    <row r="58" spans="2:26" x14ac:dyDescent="0.25">
      <c r="B58" s="402" t="e">
        <f>IRR(F58:Z58,'5'!$I$26/100)</f>
        <v>#VALUE!</v>
      </c>
      <c r="C58" s="484">
        <f t="shared" si="7"/>
        <v>0</v>
      </c>
      <c r="D58" s="402">
        <v>0.37</v>
      </c>
      <c r="E58" s="353">
        <f t="shared" si="29"/>
        <v>0</v>
      </c>
      <c r="F58" s="353">
        <f t="shared" si="28"/>
        <v>0</v>
      </c>
      <c r="G58" s="403" t="e">
        <f t="shared" si="8"/>
        <v>#DIV/0!</v>
      </c>
      <c r="H58" s="403" t="e">
        <f t="shared" si="9"/>
        <v>#DIV/0!</v>
      </c>
      <c r="I58" s="403" t="e">
        <f t="shared" si="10"/>
        <v>#DIV/0!</v>
      </c>
      <c r="J58" s="403" t="e">
        <f t="shared" si="11"/>
        <v>#DIV/0!</v>
      </c>
      <c r="K58" s="403" t="e">
        <f t="shared" si="12"/>
        <v>#DIV/0!</v>
      </c>
      <c r="L58" s="403" t="e">
        <f t="shared" si="13"/>
        <v>#DIV/0!</v>
      </c>
      <c r="M58" s="403" t="e">
        <f t="shared" si="14"/>
        <v>#DIV/0!</v>
      </c>
      <c r="N58" s="403" t="e">
        <f t="shared" si="15"/>
        <v>#DIV/0!</v>
      </c>
      <c r="O58" s="403" t="e">
        <f t="shared" si="16"/>
        <v>#DIV/0!</v>
      </c>
      <c r="P58" s="403" t="e">
        <f t="shared" si="17"/>
        <v>#DIV/0!</v>
      </c>
      <c r="Q58" s="403" t="e">
        <f t="shared" si="18"/>
        <v>#DIV/0!</v>
      </c>
      <c r="R58" s="403" t="e">
        <f t="shared" si="19"/>
        <v>#DIV/0!</v>
      </c>
      <c r="S58" s="403" t="e">
        <f t="shared" si="20"/>
        <v>#DIV/0!</v>
      </c>
      <c r="T58" s="403" t="e">
        <f t="shared" si="21"/>
        <v>#DIV/0!</v>
      </c>
      <c r="U58" s="403" t="e">
        <f t="shared" si="22"/>
        <v>#DIV/0!</v>
      </c>
      <c r="V58" s="403" t="e">
        <f t="shared" si="23"/>
        <v>#DIV/0!</v>
      </c>
      <c r="W58" s="403" t="e">
        <f t="shared" si="24"/>
        <v>#DIV/0!</v>
      </c>
      <c r="X58" s="403" t="e">
        <f t="shared" si="25"/>
        <v>#DIV/0!</v>
      </c>
      <c r="Y58" s="403" t="e">
        <f t="shared" si="26"/>
        <v>#DIV/0!</v>
      </c>
      <c r="Z58" s="403" t="e">
        <f t="shared" si="27"/>
        <v>#DIV/0!</v>
      </c>
    </row>
    <row r="59" spans="2:26" x14ac:dyDescent="0.25">
      <c r="B59" s="402" t="e">
        <f>IRR(F59:Z59,'5'!$I$26/100)</f>
        <v>#VALUE!</v>
      </c>
      <c r="C59" s="484">
        <f t="shared" si="7"/>
        <v>0</v>
      </c>
      <c r="D59" s="402">
        <v>0.38</v>
      </c>
      <c r="E59" s="353">
        <f t="shared" si="29"/>
        <v>0</v>
      </c>
      <c r="F59" s="353">
        <f t="shared" si="28"/>
        <v>0</v>
      </c>
      <c r="G59" s="403" t="e">
        <f t="shared" si="8"/>
        <v>#DIV/0!</v>
      </c>
      <c r="H59" s="403" t="e">
        <f t="shared" si="9"/>
        <v>#DIV/0!</v>
      </c>
      <c r="I59" s="403" t="e">
        <f t="shared" si="10"/>
        <v>#DIV/0!</v>
      </c>
      <c r="J59" s="403" t="e">
        <f t="shared" si="11"/>
        <v>#DIV/0!</v>
      </c>
      <c r="K59" s="403" t="e">
        <f t="shared" si="12"/>
        <v>#DIV/0!</v>
      </c>
      <c r="L59" s="403" t="e">
        <f t="shared" si="13"/>
        <v>#DIV/0!</v>
      </c>
      <c r="M59" s="403" t="e">
        <f t="shared" si="14"/>
        <v>#DIV/0!</v>
      </c>
      <c r="N59" s="403" t="e">
        <f t="shared" si="15"/>
        <v>#DIV/0!</v>
      </c>
      <c r="O59" s="403" t="e">
        <f t="shared" si="16"/>
        <v>#DIV/0!</v>
      </c>
      <c r="P59" s="403" t="e">
        <f t="shared" si="17"/>
        <v>#DIV/0!</v>
      </c>
      <c r="Q59" s="403" t="e">
        <f t="shared" si="18"/>
        <v>#DIV/0!</v>
      </c>
      <c r="R59" s="403" t="e">
        <f t="shared" si="19"/>
        <v>#DIV/0!</v>
      </c>
      <c r="S59" s="403" t="e">
        <f t="shared" si="20"/>
        <v>#DIV/0!</v>
      </c>
      <c r="T59" s="403" t="e">
        <f t="shared" si="21"/>
        <v>#DIV/0!</v>
      </c>
      <c r="U59" s="403" t="e">
        <f t="shared" si="22"/>
        <v>#DIV/0!</v>
      </c>
      <c r="V59" s="403" t="e">
        <f t="shared" si="23"/>
        <v>#DIV/0!</v>
      </c>
      <c r="W59" s="403" t="e">
        <f t="shared" si="24"/>
        <v>#DIV/0!</v>
      </c>
      <c r="X59" s="403" t="e">
        <f t="shared" si="25"/>
        <v>#DIV/0!</v>
      </c>
      <c r="Y59" s="403" t="e">
        <f t="shared" si="26"/>
        <v>#DIV/0!</v>
      </c>
      <c r="Z59" s="403" t="e">
        <f t="shared" si="27"/>
        <v>#DIV/0!</v>
      </c>
    </row>
    <row r="60" spans="2:26" x14ac:dyDescent="0.25">
      <c r="B60" s="402" t="e">
        <f>IRR(F60:Z60,'5'!$I$26/100)</f>
        <v>#VALUE!</v>
      </c>
      <c r="C60" s="484">
        <f t="shared" si="7"/>
        <v>0</v>
      </c>
      <c r="D60" s="402">
        <v>0.39</v>
      </c>
      <c r="E60" s="353">
        <f t="shared" si="29"/>
        <v>0</v>
      </c>
      <c r="F60" s="353">
        <f t="shared" si="28"/>
        <v>0</v>
      </c>
      <c r="G60" s="403" t="e">
        <f t="shared" si="8"/>
        <v>#DIV/0!</v>
      </c>
      <c r="H60" s="403" t="e">
        <f t="shared" si="9"/>
        <v>#DIV/0!</v>
      </c>
      <c r="I60" s="403" t="e">
        <f t="shared" si="10"/>
        <v>#DIV/0!</v>
      </c>
      <c r="J60" s="403" t="e">
        <f t="shared" si="11"/>
        <v>#DIV/0!</v>
      </c>
      <c r="K60" s="403" t="e">
        <f t="shared" si="12"/>
        <v>#DIV/0!</v>
      </c>
      <c r="L60" s="403" t="e">
        <f t="shared" si="13"/>
        <v>#DIV/0!</v>
      </c>
      <c r="M60" s="403" t="e">
        <f t="shared" si="14"/>
        <v>#DIV/0!</v>
      </c>
      <c r="N60" s="403" t="e">
        <f t="shared" si="15"/>
        <v>#DIV/0!</v>
      </c>
      <c r="O60" s="403" t="e">
        <f t="shared" si="16"/>
        <v>#DIV/0!</v>
      </c>
      <c r="P60" s="403" t="e">
        <f t="shared" si="17"/>
        <v>#DIV/0!</v>
      </c>
      <c r="Q60" s="403" t="e">
        <f t="shared" si="18"/>
        <v>#DIV/0!</v>
      </c>
      <c r="R60" s="403" t="e">
        <f t="shared" si="19"/>
        <v>#DIV/0!</v>
      </c>
      <c r="S60" s="403" t="e">
        <f t="shared" si="20"/>
        <v>#DIV/0!</v>
      </c>
      <c r="T60" s="403" t="e">
        <f t="shared" si="21"/>
        <v>#DIV/0!</v>
      </c>
      <c r="U60" s="403" t="e">
        <f t="shared" si="22"/>
        <v>#DIV/0!</v>
      </c>
      <c r="V60" s="403" t="e">
        <f t="shared" si="23"/>
        <v>#DIV/0!</v>
      </c>
      <c r="W60" s="403" t="e">
        <f t="shared" si="24"/>
        <v>#DIV/0!</v>
      </c>
      <c r="X60" s="403" t="e">
        <f t="shared" si="25"/>
        <v>#DIV/0!</v>
      </c>
      <c r="Y60" s="403" t="e">
        <f t="shared" si="26"/>
        <v>#DIV/0!</v>
      </c>
      <c r="Z60" s="403" t="e">
        <f t="shared" si="27"/>
        <v>#DIV/0!</v>
      </c>
    </row>
    <row r="61" spans="2:26" x14ac:dyDescent="0.25">
      <c r="B61" s="402" t="e">
        <f>IRR(F61:Z61,'5'!$I$26/100)</f>
        <v>#VALUE!</v>
      </c>
      <c r="C61" s="484">
        <f t="shared" si="7"/>
        <v>0</v>
      </c>
      <c r="D61" s="402">
        <v>0.4</v>
      </c>
      <c r="E61" s="353">
        <f t="shared" si="29"/>
        <v>0</v>
      </c>
      <c r="F61" s="353">
        <f t="shared" si="28"/>
        <v>0</v>
      </c>
      <c r="G61" s="403" t="e">
        <f t="shared" si="8"/>
        <v>#DIV/0!</v>
      </c>
      <c r="H61" s="403" t="e">
        <f t="shared" si="9"/>
        <v>#DIV/0!</v>
      </c>
      <c r="I61" s="403" t="e">
        <f t="shared" si="10"/>
        <v>#DIV/0!</v>
      </c>
      <c r="J61" s="403" t="e">
        <f t="shared" si="11"/>
        <v>#DIV/0!</v>
      </c>
      <c r="K61" s="403" t="e">
        <f t="shared" si="12"/>
        <v>#DIV/0!</v>
      </c>
      <c r="L61" s="403" t="e">
        <f t="shared" si="13"/>
        <v>#DIV/0!</v>
      </c>
      <c r="M61" s="403" t="e">
        <f t="shared" si="14"/>
        <v>#DIV/0!</v>
      </c>
      <c r="N61" s="403" t="e">
        <f t="shared" si="15"/>
        <v>#DIV/0!</v>
      </c>
      <c r="O61" s="403" t="e">
        <f t="shared" si="16"/>
        <v>#DIV/0!</v>
      </c>
      <c r="P61" s="403" t="e">
        <f t="shared" si="17"/>
        <v>#DIV/0!</v>
      </c>
      <c r="Q61" s="403" t="e">
        <f t="shared" si="18"/>
        <v>#DIV/0!</v>
      </c>
      <c r="R61" s="403" t="e">
        <f t="shared" si="19"/>
        <v>#DIV/0!</v>
      </c>
      <c r="S61" s="403" t="e">
        <f t="shared" si="20"/>
        <v>#DIV/0!</v>
      </c>
      <c r="T61" s="403" t="e">
        <f t="shared" si="21"/>
        <v>#DIV/0!</v>
      </c>
      <c r="U61" s="403" t="e">
        <f t="shared" si="22"/>
        <v>#DIV/0!</v>
      </c>
      <c r="V61" s="403" t="e">
        <f t="shared" si="23"/>
        <v>#DIV/0!</v>
      </c>
      <c r="W61" s="403" t="e">
        <f t="shared" si="24"/>
        <v>#DIV/0!</v>
      </c>
      <c r="X61" s="403" t="e">
        <f t="shared" si="25"/>
        <v>#DIV/0!</v>
      </c>
      <c r="Y61" s="403" t="e">
        <f t="shared" si="26"/>
        <v>#DIV/0!</v>
      </c>
      <c r="Z61" s="403" t="e">
        <f t="shared" si="27"/>
        <v>#DIV/0!</v>
      </c>
    </row>
    <row r="62" spans="2:26" x14ac:dyDescent="0.25">
      <c r="B62" s="402" t="e">
        <f>IRR(F62:Z62,'5'!$I$26/100)</f>
        <v>#VALUE!</v>
      </c>
      <c r="C62" s="484">
        <f t="shared" si="7"/>
        <v>0</v>
      </c>
      <c r="D62" s="402">
        <v>0.41</v>
      </c>
      <c r="E62" s="353">
        <f t="shared" si="29"/>
        <v>0</v>
      </c>
      <c r="F62" s="353">
        <f t="shared" si="28"/>
        <v>0</v>
      </c>
      <c r="G62" s="403" t="e">
        <f t="shared" si="8"/>
        <v>#DIV/0!</v>
      </c>
      <c r="H62" s="403" t="e">
        <f t="shared" si="9"/>
        <v>#DIV/0!</v>
      </c>
      <c r="I62" s="403" t="e">
        <f t="shared" si="10"/>
        <v>#DIV/0!</v>
      </c>
      <c r="J62" s="403" t="e">
        <f t="shared" si="11"/>
        <v>#DIV/0!</v>
      </c>
      <c r="K62" s="403" t="e">
        <f t="shared" si="12"/>
        <v>#DIV/0!</v>
      </c>
      <c r="L62" s="403" t="e">
        <f t="shared" si="13"/>
        <v>#DIV/0!</v>
      </c>
      <c r="M62" s="403" t="e">
        <f t="shared" si="14"/>
        <v>#DIV/0!</v>
      </c>
      <c r="N62" s="403" t="e">
        <f t="shared" si="15"/>
        <v>#DIV/0!</v>
      </c>
      <c r="O62" s="403" t="e">
        <f t="shared" si="16"/>
        <v>#DIV/0!</v>
      </c>
      <c r="P62" s="403" t="e">
        <f t="shared" si="17"/>
        <v>#DIV/0!</v>
      </c>
      <c r="Q62" s="403" t="e">
        <f t="shared" si="18"/>
        <v>#DIV/0!</v>
      </c>
      <c r="R62" s="403" t="e">
        <f t="shared" si="19"/>
        <v>#DIV/0!</v>
      </c>
      <c r="S62" s="403" t="e">
        <f t="shared" si="20"/>
        <v>#DIV/0!</v>
      </c>
      <c r="T62" s="403" t="e">
        <f t="shared" si="21"/>
        <v>#DIV/0!</v>
      </c>
      <c r="U62" s="403" t="e">
        <f t="shared" si="22"/>
        <v>#DIV/0!</v>
      </c>
      <c r="V62" s="403" t="e">
        <f t="shared" si="23"/>
        <v>#DIV/0!</v>
      </c>
      <c r="W62" s="403" t="e">
        <f t="shared" si="24"/>
        <v>#DIV/0!</v>
      </c>
      <c r="X62" s="403" t="e">
        <f t="shared" si="25"/>
        <v>#DIV/0!</v>
      </c>
      <c r="Y62" s="403" t="e">
        <f t="shared" si="26"/>
        <v>#DIV/0!</v>
      </c>
      <c r="Z62" s="403" t="e">
        <f t="shared" si="27"/>
        <v>#DIV/0!</v>
      </c>
    </row>
    <row r="63" spans="2:26" x14ac:dyDescent="0.25">
      <c r="B63" s="402" t="e">
        <f>IRR(F63:Z63,'5'!$I$26/100)</f>
        <v>#VALUE!</v>
      </c>
      <c r="C63" s="484">
        <f t="shared" si="7"/>
        <v>0</v>
      </c>
      <c r="D63" s="402">
        <v>0.42</v>
      </c>
      <c r="E63" s="353">
        <f t="shared" si="29"/>
        <v>0</v>
      </c>
      <c r="F63" s="353">
        <f t="shared" si="28"/>
        <v>0</v>
      </c>
      <c r="G63" s="403" t="e">
        <f t="shared" si="8"/>
        <v>#DIV/0!</v>
      </c>
      <c r="H63" s="403" t="e">
        <f t="shared" si="9"/>
        <v>#DIV/0!</v>
      </c>
      <c r="I63" s="403" t="e">
        <f t="shared" si="10"/>
        <v>#DIV/0!</v>
      </c>
      <c r="J63" s="403" t="e">
        <f t="shared" si="11"/>
        <v>#DIV/0!</v>
      </c>
      <c r="K63" s="403" t="e">
        <f t="shared" si="12"/>
        <v>#DIV/0!</v>
      </c>
      <c r="L63" s="403" t="e">
        <f t="shared" si="13"/>
        <v>#DIV/0!</v>
      </c>
      <c r="M63" s="403" t="e">
        <f t="shared" si="14"/>
        <v>#DIV/0!</v>
      </c>
      <c r="N63" s="403" t="e">
        <f t="shared" si="15"/>
        <v>#DIV/0!</v>
      </c>
      <c r="O63" s="403" t="e">
        <f t="shared" si="16"/>
        <v>#DIV/0!</v>
      </c>
      <c r="P63" s="403" t="e">
        <f t="shared" si="17"/>
        <v>#DIV/0!</v>
      </c>
      <c r="Q63" s="403" t="e">
        <f t="shared" si="18"/>
        <v>#DIV/0!</v>
      </c>
      <c r="R63" s="403" t="e">
        <f t="shared" si="19"/>
        <v>#DIV/0!</v>
      </c>
      <c r="S63" s="403" t="e">
        <f t="shared" si="20"/>
        <v>#DIV/0!</v>
      </c>
      <c r="T63" s="403" t="e">
        <f t="shared" si="21"/>
        <v>#DIV/0!</v>
      </c>
      <c r="U63" s="403" t="e">
        <f t="shared" si="22"/>
        <v>#DIV/0!</v>
      </c>
      <c r="V63" s="403" t="e">
        <f t="shared" si="23"/>
        <v>#DIV/0!</v>
      </c>
      <c r="W63" s="403" t="e">
        <f t="shared" si="24"/>
        <v>#DIV/0!</v>
      </c>
      <c r="X63" s="403" t="e">
        <f t="shared" si="25"/>
        <v>#DIV/0!</v>
      </c>
      <c r="Y63" s="403" t="e">
        <f t="shared" si="26"/>
        <v>#DIV/0!</v>
      </c>
      <c r="Z63" s="403" t="e">
        <f t="shared" si="27"/>
        <v>#DIV/0!</v>
      </c>
    </row>
    <row r="64" spans="2:26" x14ac:dyDescent="0.25">
      <c r="B64" s="402" t="e">
        <f>IRR(F64:Z64,'5'!$I$26/100)</f>
        <v>#VALUE!</v>
      </c>
      <c r="C64" s="484">
        <f t="shared" si="7"/>
        <v>0</v>
      </c>
      <c r="D64" s="402">
        <v>0.43</v>
      </c>
      <c r="E64" s="353">
        <f t="shared" si="29"/>
        <v>0</v>
      </c>
      <c r="F64" s="353">
        <f t="shared" si="28"/>
        <v>0</v>
      </c>
      <c r="G64" s="403" t="e">
        <f t="shared" si="8"/>
        <v>#DIV/0!</v>
      </c>
      <c r="H64" s="403" t="e">
        <f t="shared" si="9"/>
        <v>#DIV/0!</v>
      </c>
      <c r="I64" s="403" t="e">
        <f t="shared" si="10"/>
        <v>#DIV/0!</v>
      </c>
      <c r="J64" s="403" t="e">
        <f t="shared" si="11"/>
        <v>#DIV/0!</v>
      </c>
      <c r="K64" s="403" t="e">
        <f t="shared" si="12"/>
        <v>#DIV/0!</v>
      </c>
      <c r="L64" s="403" t="e">
        <f t="shared" si="13"/>
        <v>#DIV/0!</v>
      </c>
      <c r="M64" s="403" t="e">
        <f t="shared" si="14"/>
        <v>#DIV/0!</v>
      </c>
      <c r="N64" s="403" t="e">
        <f t="shared" si="15"/>
        <v>#DIV/0!</v>
      </c>
      <c r="O64" s="403" t="e">
        <f t="shared" si="16"/>
        <v>#DIV/0!</v>
      </c>
      <c r="P64" s="403" t="e">
        <f t="shared" si="17"/>
        <v>#DIV/0!</v>
      </c>
      <c r="Q64" s="403" t="e">
        <f t="shared" si="18"/>
        <v>#DIV/0!</v>
      </c>
      <c r="R64" s="403" t="e">
        <f t="shared" si="19"/>
        <v>#DIV/0!</v>
      </c>
      <c r="S64" s="403" t="e">
        <f t="shared" si="20"/>
        <v>#DIV/0!</v>
      </c>
      <c r="T64" s="403" t="e">
        <f t="shared" si="21"/>
        <v>#DIV/0!</v>
      </c>
      <c r="U64" s="403" t="e">
        <f t="shared" si="22"/>
        <v>#DIV/0!</v>
      </c>
      <c r="V64" s="403" t="e">
        <f t="shared" si="23"/>
        <v>#DIV/0!</v>
      </c>
      <c r="W64" s="403" t="e">
        <f t="shared" si="24"/>
        <v>#DIV/0!</v>
      </c>
      <c r="X64" s="403" t="e">
        <f t="shared" si="25"/>
        <v>#DIV/0!</v>
      </c>
      <c r="Y64" s="403" t="e">
        <f t="shared" si="26"/>
        <v>#DIV/0!</v>
      </c>
      <c r="Z64" s="403" t="e">
        <f t="shared" si="27"/>
        <v>#DIV/0!</v>
      </c>
    </row>
    <row r="65" spans="2:26" x14ac:dyDescent="0.25">
      <c r="B65" s="402" t="e">
        <f>IRR(F65:Z65,'5'!$I$26/100)</f>
        <v>#VALUE!</v>
      </c>
      <c r="C65" s="484">
        <f t="shared" si="7"/>
        <v>0</v>
      </c>
      <c r="D65" s="402">
        <v>0.44</v>
      </c>
      <c r="E65" s="353">
        <f t="shared" si="29"/>
        <v>0</v>
      </c>
      <c r="F65" s="353">
        <f t="shared" si="28"/>
        <v>0</v>
      </c>
      <c r="G65" s="403" t="e">
        <f t="shared" si="8"/>
        <v>#DIV/0!</v>
      </c>
      <c r="H65" s="403" t="e">
        <f t="shared" si="9"/>
        <v>#DIV/0!</v>
      </c>
      <c r="I65" s="403" t="e">
        <f t="shared" si="10"/>
        <v>#DIV/0!</v>
      </c>
      <c r="J65" s="403" t="e">
        <f t="shared" si="11"/>
        <v>#DIV/0!</v>
      </c>
      <c r="K65" s="403" t="e">
        <f t="shared" si="12"/>
        <v>#DIV/0!</v>
      </c>
      <c r="L65" s="403" t="e">
        <f t="shared" si="13"/>
        <v>#DIV/0!</v>
      </c>
      <c r="M65" s="403" t="e">
        <f t="shared" si="14"/>
        <v>#DIV/0!</v>
      </c>
      <c r="N65" s="403" t="e">
        <f t="shared" si="15"/>
        <v>#DIV/0!</v>
      </c>
      <c r="O65" s="403" t="e">
        <f t="shared" si="16"/>
        <v>#DIV/0!</v>
      </c>
      <c r="P65" s="403" t="e">
        <f t="shared" si="17"/>
        <v>#DIV/0!</v>
      </c>
      <c r="Q65" s="403" t="e">
        <f t="shared" si="18"/>
        <v>#DIV/0!</v>
      </c>
      <c r="R65" s="403" t="e">
        <f t="shared" si="19"/>
        <v>#DIV/0!</v>
      </c>
      <c r="S65" s="403" t="e">
        <f t="shared" si="20"/>
        <v>#DIV/0!</v>
      </c>
      <c r="T65" s="403" t="e">
        <f t="shared" si="21"/>
        <v>#DIV/0!</v>
      </c>
      <c r="U65" s="403" t="e">
        <f t="shared" si="22"/>
        <v>#DIV/0!</v>
      </c>
      <c r="V65" s="403" t="e">
        <f t="shared" si="23"/>
        <v>#DIV/0!</v>
      </c>
      <c r="W65" s="403" t="e">
        <f t="shared" si="24"/>
        <v>#DIV/0!</v>
      </c>
      <c r="X65" s="403" t="e">
        <f t="shared" si="25"/>
        <v>#DIV/0!</v>
      </c>
      <c r="Y65" s="403" t="e">
        <f t="shared" si="26"/>
        <v>#DIV/0!</v>
      </c>
      <c r="Z65" s="403" t="e">
        <f t="shared" si="27"/>
        <v>#DIV/0!</v>
      </c>
    </row>
    <row r="66" spans="2:26" x14ac:dyDescent="0.25">
      <c r="B66" s="402" t="e">
        <f>IRR(F66:Z66,'5'!$I$26/100)</f>
        <v>#VALUE!</v>
      </c>
      <c r="C66" s="484">
        <f t="shared" si="7"/>
        <v>0</v>
      </c>
      <c r="D66" s="402">
        <v>0.45</v>
      </c>
      <c r="E66" s="353">
        <f t="shared" si="29"/>
        <v>0</v>
      </c>
      <c r="F66" s="353">
        <f t="shared" si="28"/>
        <v>0</v>
      </c>
      <c r="G66" s="403" t="e">
        <f t="shared" si="8"/>
        <v>#DIV/0!</v>
      </c>
      <c r="H66" s="403" t="e">
        <f t="shared" si="9"/>
        <v>#DIV/0!</v>
      </c>
      <c r="I66" s="403" t="e">
        <f t="shared" si="10"/>
        <v>#DIV/0!</v>
      </c>
      <c r="J66" s="403" t="e">
        <f t="shared" si="11"/>
        <v>#DIV/0!</v>
      </c>
      <c r="K66" s="403" t="e">
        <f t="shared" si="12"/>
        <v>#DIV/0!</v>
      </c>
      <c r="L66" s="403" t="e">
        <f t="shared" si="13"/>
        <v>#DIV/0!</v>
      </c>
      <c r="M66" s="403" t="e">
        <f t="shared" si="14"/>
        <v>#DIV/0!</v>
      </c>
      <c r="N66" s="403" t="e">
        <f t="shared" si="15"/>
        <v>#DIV/0!</v>
      </c>
      <c r="O66" s="403" t="e">
        <f t="shared" si="16"/>
        <v>#DIV/0!</v>
      </c>
      <c r="P66" s="403" t="e">
        <f t="shared" si="17"/>
        <v>#DIV/0!</v>
      </c>
      <c r="Q66" s="403" t="e">
        <f t="shared" si="18"/>
        <v>#DIV/0!</v>
      </c>
      <c r="R66" s="403" t="e">
        <f t="shared" si="19"/>
        <v>#DIV/0!</v>
      </c>
      <c r="S66" s="403" t="e">
        <f t="shared" si="20"/>
        <v>#DIV/0!</v>
      </c>
      <c r="T66" s="403" t="e">
        <f t="shared" si="21"/>
        <v>#DIV/0!</v>
      </c>
      <c r="U66" s="403" t="e">
        <f t="shared" si="22"/>
        <v>#DIV/0!</v>
      </c>
      <c r="V66" s="403" t="e">
        <f t="shared" si="23"/>
        <v>#DIV/0!</v>
      </c>
      <c r="W66" s="403" t="e">
        <f t="shared" si="24"/>
        <v>#DIV/0!</v>
      </c>
      <c r="X66" s="403" t="e">
        <f t="shared" si="25"/>
        <v>#DIV/0!</v>
      </c>
      <c r="Y66" s="403" t="e">
        <f t="shared" si="26"/>
        <v>#DIV/0!</v>
      </c>
      <c r="Z66" s="403" t="e">
        <f t="shared" si="27"/>
        <v>#DIV/0!</v>
      </c>
    </row>
    <row r="67" spans="2:26" x14ac:dyDescent="0.25">
      <c r="B67" s="402" t="e">
        <f>IRR(F67:Z67,'5'!$I$26/100)</f>
        <v>#VALUE!</v>
      </c>
      <c r="C67" s="484">
        <f t="shared" si="7"/>
        <v>0</v>
      </c>
      <c r="D67" s="402">
        <v>0.46</v>
      </c>
      <c r="E67" s="353">
        <f t="shared" si="29"/>
        <v>0</v>
      </c>
      <c r="F67" s="353">
        <f t="shared" si="28"/>
        <v>0</v>
      </c>
      <c r="G67" s="403" t="e">
        <f t="shared" si="8"/>
        <v>#DIV/0!</v>
      </c>
      <c r="H67" s="403" t="e">
        <f t="shared" si="9"/>
        <v>#DIV/0!</v>
      </c>
      <c r="I67" s="403" t="e">
        <f t="shared" si="10"/>
        <v>#DIV/0!</v>
      </c>
      <c r="J67" s="403" t="e">
        <f t="shared" si="11"/>
        <v>#DIV/0!</v>
      </c>
      <c r="K67" s="403" t="e">
        <f t="shared" si="12"/>
        <v>#DIV/0!</v>
      </c>
      <c r="L67" s="403" t="e">
        <f t="shared" si="13"/>
        <v>#DIV/0!</v>
      </c>
      <c r="M67" s="403" t="e">
        <f t="shared" si="14"/>
        <v>#DIV/0!</v>
      </c>
      <c r="N67" s="403" t="e">
        <f t="shared" si="15"/>
        <v>#DIV/0!</v>
      </c>
      <c r="O67" s="403" t="e">
        <f t="shared" si="16"/>
        <v>#DIV/0!</v>
      </c>
      <c r="P67" s="403" t="e">
        <f t="shared" si="17"/>
        <v>#DIV/0!</v>
      </c>
      <c r="Q67" s="403" t="e">
        <f t="shared" si="18"/>
        <v>#DIV/0!</v>
      </c>
      <c r="R67" s="403" t="e">
        <f t="shared" si="19"/>
        <v>#DIV/0!</v>
      </c>
      <c r="S67" s="403" t="e">
        <f t="shared" si="20"/>
        <v>#DIV/0!</v>
      </c>
      <c r="T67" s="403" t="e">
        <f t="shared" si="21"/>
        <v>#DIV/0!</v>
      </c>
      <c r="U67" s="403" t="e">
        <f t="shared" si="22"/>
        <v>#DIV/0!</v>
      </c>
      <c r="V67" s="403" t="e">
        <f t="shared" si="23"/>
        <v>#DIV/0!</v>
      </c>
      <c r="W67" s="403" t="e">
        <f t="shared" si="24"/>
        <v>#DIV/0!</v>
      </c>
      <c r="X67" s="403" t="e">
        <f t="shared" si="25"/>
        <v>#DIV/0!</v>
      </c>
      <c r="Y67" s="403" t="e">
        <f t="shared" si="26"/>
        <v>#DIV/0!</v>
      </c>
      <c r="Z67" s="403" t="e">
        <f t="shared" si="27"/>
        <v>#DIV/0!</v>
      </c>
    </row>
    <row r="68" spans="2:26" x14ac:dyDescent="0.25">
      <c r="B68" s="402" t="e">
        <f>IRR(F68:Z68,'5'!$I$26/100)</f>
        <v>#VALUE!</v>
      </c>
      <c r="C68" s="484">
        <f t="shared" si="7"/>
        <v>0</v>
      </c>
      <c r="D68" s="402">
        <v>0.47</v>
      </c>
      <c r="E68" s="353">
        <f t="shared" si="29"/>
        <v>0</v>
      </c>
      <c r="F68" s="353">
        <f t="shared" si="28"/>
        <v>0</v>
      </c>
      <c r="G68" s="403" t="e">
        <f t="shared" si="8"/>
        <v>#DIV/0!</v>
      </c>
      <c r="H68" s="403" t="e">
        <f t="shared" si="9"/>
        <v>#DIV/0!</v>
      </c>
      <c r="I68" s="403" t="e">
        <f t="shared" si="10"/>
        <v>#DIV/0!</v>
      </c>
      <c r="J68" s="403" t="e">
        <f t="shared" si="11"/>
        <v>#DIV/0!</v>
      </c>
      <c r="K68" s="403" t="e">
        <f t="shared" si="12"/>
        <v>#DIV/0!</v>
      </c>
      <c r="L68" s="403" t="e">
        <f t="shared" si="13"/>
        <v>#DIV/0!</v>
      </c>
      <c r="M68" s="403" t="e">
        <f t="shared" si="14"/>
        <v>#DIV/0!</v>
      </c>
      <c r="N68" s="403" t="e">
        <f t="shared" si="15"/>
        <v>#DIV/0!</v>
      </c>
      <c r="O68" s="403" t="e">
        <f t="shared" si="16"/>
        <v>#DIV/0!</v>
      </c>
      <c r="P68" s="403" t="e">
        <f t="shared" si="17"/>
        <v>#DIV/0!</v>
      </c>
      <c r="Q68" s="403" t="e">
        <f t="shared" si="18"/>
        <v>#DIV/0!</v>
      </c>
      <c r="R68" s="403" t="e">
        <f t="shared" si="19"/>
        <v>#DIV/0!</v>
      </c>
      <c r="S68" s="403" t="e">
        <f t="shared" si="20"/>
        <v>#DIV/0!</v>
      </c>
      <c r="T68" s="403" t="e">
        <f t="shared" si="21"/>
        <v>#DIV/0!</v>
      </c>
      <c r="U68" s="403" t="e">
        <f t="shared" si="22"/>
        <v>#DIV/0!</v>
      </c>
      <c r="V68" s="403" t="e">
        <f t="shared" si="23"/>
        <v>#DIV/0!</v>
      </c>
      <c r="W68" s="403" t="e">
        <f t="shared" si="24"/>
        <v>#DIV/0!</v>
      </c>
      <c r="X68" s="403" t="e">
        <f t="shared" si="25"/>
        <v>#DIV/0!</v>
      </c>
      <c r="Y68" s="403" t="e">
        <f t="shared" si="26"/>
        <v>#DIV/0!</v>
      </c>
      <c r="Z68" s="403" t="e">
        <f t="shared" si="27"/>
        <v>#DIV/0!</v>
      </c>
    </row>
    <row r="69" spans="2:26" x14ac:dyDescent="0.25">
      <c r="B69" s="402" t="e">
        <f>IRR(F69:Z69,'5'!$I$26/100)</f>
        <v>#VALUE!</v>
      </c>
      <c r="C69" s="484">
        <f t="shared" si="7"/>
        <v>0</v>
      </c>
      <c r="D69" s="402">
        <v>0.48</v>
      </c>
      <c r="E69" s="353">
        <f t="shared" si="29"/>
        <v>0</v>
      </c>
      <c r="F69" s="353">
        <f t="shared" si="28"/>
        <v>0</v>
      </c>
      <c r="G69" s="403" t="e">
        <f t="shared" si="8"/>
        <v>#DIV/0!</v>
      </c>
      <c r="H69" s="403" t="e">
        <f t="shared" si="9"/>
        <v>#DIV/0!</v>
      </c>
      <c r="I69" s="403" t="e">
        <f t="shared" si="10"/>
        <v>#DIV/0!</v>
      </c>
      <c r="J69" s="403" t="e">
        <f t="shared" si="11"/>
        <v>#DIV/0!</v>
      </c>
      <c r="K69" s="403" t="e">
        <f t="shared" si="12"/>
        <v>#DIV/0!</v>
      </c>
      <c r="L69" s="403" t="e">
        <f t="shared" si="13"/>
        <v>#DIV/0!</v>
      </c>
      <c r="M69" s="403" t="e">
        <f t="shared" si="14"/>
        <v>#DIV/0!</v>
      </c>
      <c r="N69" s="403" t="e">
        <f t="shared" si="15"/>
        <v>#DIV/0!</v>
      </c>
      <c r="O69" s="403" t="e">
        <f t="shared" si="16"/>
        <v>#DIV/0!</v>
      </c>
      <c r="P69" s="403" t="e">
        <f t="shared" si="17"/>
        <v>#DIV/0!</v>
      </c>
      <c r="Q69" s="403" t="e">
        <f t="shared" si="18"/>
        <v>#DIV/0!</v>
      </c>
      <c r="R69" s="403" t="e">
        <f t="shared" si="19"/>
        <v>#DIV/0!</v>
      </c>
      <c r="S69" s="403" t="e">
        <f t="shared" si="20"/>
        <v>#DIV/0!</v>
      </c>
      <c r="T69" s="403" t="e">
        <f t="shared" si="21"/>
        <v>#DIV/0!</v>
      </c>
      <c r="U69" s="403" t="e">
        <f t="shared" si="22"/>
        <v>#DIV/0!</v>
      </c>
      <c r="V69" s="403" t="e">
        <f t="shared" si="23"/>
        <v>#DIV/0!</v>
      </c>
      <c r="W69" s="403" t="e">
        <f t="shared" si="24"/>
        <v>#DIV/0!</v>
      </c>
      <c r="X69" s="403" t="e">
        <f t="shared" si="25"/>
        <v>#DIV/0!</v>
      </c>
      <c r="Y69" s="403" t="e">
        <f t="shared" si="26"/>
        <v>#DIV/0!</v>
      </c>
      <c r="Z69" s="403" t="e">
        <f t="shared" si="27"/>
        <v>#DIV/0!</v>
      </c>
    </row>
    <row r="70" spans="2:26" x14ac:dyDescent="0.25">
      <c r="B70" s="402" t="e">
        <f>IRR(F70:Z70,'5'!$I$26/100)</f>
        <v>#VALUE!</v>
      </c>
      <c r="C70" s="484">
        <f t="shared" si="7"/>
        <v>0</v>
      </c>
      <c r="D70" s="402">
        <v>0.49</v>
      </c>
      <c r="E70" s="353">
        <f t="shared" si="29"/>
        <v>0</v>
      </c>
      <c r="F70" s="353">
        <f t="shared" si="28"/>
        <v>0</v>
      </c>
      <c r="G70" s="403" t="e">
        <f t="shared" si="8"/>
        <v>#DIV/0!</v>
      </c>
      <c r="H70" s="403" t="e">
        <f t="shared" si="9"/>
        <v>#DIV/0!</v>
      </c>
      <c r="I70" s="403" t="e">
        <f t="shared" si="10"/>
        <v>#DIV/0!</v>
      </c>
      <c r="J70" s="403" t="e">
        <f t="shared" si="11"/>
        <v>#DIV/0!</v>
      </c>
      <c r="K70" s="403" t="e">
        <f t="shared" si="12"/>
        <v>#DIV/0!</v>
      </c>
      <c r="L70" s="403" t="e">
        <f t="shared" si="13"/>
        <v>#DIV/0!</v>
      </c>
      <c r="M70" s="403" t="e">
        <f t="shared" si="14"/>
        <v>#DIV/0!</v>
      </c>
      <c r="N70" s="403" t="e">
        <f t="shared" si="15"/>
        <v>#DIV/0!</v>
      </c>
      <c r="O70" s="403" t="e">
        <f t="shared" si="16"/>
        <v>#DIV/0!</v>
      </c>
      <c r="P70" s="403" t="e">
        <f t="shared" si="17"/>
        <v>#DIV/0!</v>
      </c>
      <c r="Q70" s="403" t="e">
        <f t="shared" si="18"/>
        <v>#DIV/0!</v>
      </c>
      <c r="R70" s="403" t="e">
        <f t="shared" si="19"/>
        <v>#DIV/0!</v>
      </c>
      <c r="S70" s="403" t="e">
        <f t="shared" si="20"/>
        <v>#DIV/0!</v>
      </c>
      <c r="T70" s="403" t="e">
        <f t="shared" si="21"/>
        <v>#DIV/0!</v>
      </c>
      <c r="U70" s="403" t="e">
        <f t="shared" si="22"/>
        <v>#DIV/0!</v>
      </c>
      <c r="V70" s="403" t="e">
        <f t="shared" si="23"/>
        <v>#DIV/0!</v>
      </c>
      <c r="W70" s="403" t="e">
        <f t="shared" si="24"/>
        <v>#DIV/0!</v>
      </c>
      <c r="X70" s="403" t="e">
        <f t="shared" si="25"/>
        <v>#DIV/0!</v>
      </c>
      <c r="Y70" s="403" t="e">
        <f t="shared" si="26"/>
        <v>#DIV/0!</v>
      </c>
      <c r="Z70" s="403" t="e">
        <f t="shared" si="27"/>
        <v>#DIV/0!</v>
      </c>
    </row>
    <row r="71" spans="2:26" x14ac:dyDescent="0.25">
      <c r="B71" s="402" t="e">
        <f>IRR(F71:Z71,'5'!$I$26/100)</f>
        <v>#VALUE!</v>
      </c>
      <c r="C71" s="484">
        <f t="shared" si="7"/>
        <v>0</v>
      </c>
      <c r="D71" s="402">
        <v>0.5</v>
      </c>
      <c r="E71" s="353">
        <f t="shared" si="29"/>
        <v>0</v>
      </c>
      <c r="F71" s="353">
        <f t="shared" si="28"/>
        <v>0</v>
      </c>
      <c r="G71" s="403" t="e">
        <f t="shared" si="8"/>
        <v>#DIV/0!</v>
      </c>
      <c r="H71" s="403" t="e">
        <f t="shared" si="9"/>
        <v>#DIV/0!</v>
      </c>
      <c r="I71" s="403" t="e">
        <f t="shared" si="10"/>
        <v>#DIV/0!</v>
      </c>
      <c r="J71" s="403" t="e">
        <f t="shared" si="11"/>
        <v>#DIV/0!</v>
      </c>
      <c r="K71" s="403" t="e">
        <f t="shared" si="12"/>
        <v>#DIV/0!</v>
      </c>
      <c r="L71" s="403" t="e">
        <f t="shared" si="13"/>
        <v>#DIV/0!</v>
      </c>
      <c r="M71" s="403" t="e">
        <f t="shared" si="14"/>
        <v>#DIV/0!</v>
      </c>
      <c r="N71" s="403" t="e">
        <f t="shared" si="15"/>
        <v>#DIV/0!</v>
      </c>
      <c r="O71" s="403" t="e">
        <f t="shared" si="16"/>
        <v>#DIV/0!</v>
      </c>
      <c r="P71" s="403" t="e">
        <f t="shared" si="17"/>
        <v>#DIV/0!</v>
      </c>
      <c r="Q71" s="403" t="e">
        <f t="shared" si="18"/>
        <v>#DIV/0!</v>
      </c>
      <c r="R71" s="403" t="e">
        <f t="shared" si="19"/>
        <v>#DIV/0!</v>
      </c>
      <c r="S71" s="403" t="e">
        <f t="shared" si="20"/>
        <v>#DIV/0!</v>
      </c>
      <c r="T71" s="403" t="e">
        <f t="shared" si="21"/>
        <v>#DIV/0!</v>
      </c>
      <c r="U71" s="403" t="e">
        <f t="shared" si="22"/>
        <v>#DIV/0!</v>
      </c>
      <c r="V71" s="403" t="e">
        <f t="shared" si="23"/>
        <v>#DIV/0!</v>
      </c>
      <c r="W71" s="403" t="e">
        <f t="shared" si="24"/>
        <v>#DIV/0!</v>
      </c>
      <c r="X71" s="403" t="e">
        <f t="shared" si="25"/>
        <v>#DIV/0!</v>
      </c>
      <c r="Y71" s="403" t="e">
        <f t="shared" si="26"/>
        <v>#DIV/0!</v>
      </c>
      <c r="Z71" s="403" t="e">
        <f t="shared" si="27"/>
        <v>#DIV/0!</v>
      </c>
    </row>
    <row r="72" spans="2:26" x14ac:dyDescent="0.25">
      <c r="B72" s="402" t="e">
        <f>IRR(F72:Z72,'5'!$I$26/100)</f>
        <v>#VALUE!</v>
      </c>
      <c r="C72" s="484">
        <f t="shared" si="7"/>
        <v>0</v>
      </c>
      <c r="D72" s="402">
        <v>0.51</v>
      </c>
      <c r="E72" s="353">
        <f t="shared" si="29"/>
        <v>0</v>
      </c>
      <c r="F72" s="353">
        <f t="shared" si="28"/>
        <v>0</v>
      </c>
      <c r="G72" s="403" t="e">
        <f t="shared" si="8"/>
        <v>#DIV/0!</v>
      </c>
      <c r="H72" s="403" t="e">
        <f t="shared" si="9"/>
        <v>#DIV/0!</v>
      </c>
      <c r="I72" s="403" t="e">
        <f t="shared" si="10"/>
        <v>#DIV/0!</v>
      </c>
      <c r="J72" s="403" t="e">
        <f t="shared" si="11"/>
        <v>#DIV/0!</v>
      </c>
      <c r="K72" s="403" t="e">
        <f t="shared" si="12"/>
        <v>#DIV/0!</v>
      </c>
      <c r="L72" s="403" t="e">
        <f t="shared" si="13"/>
        <v>#DIV/0!</v>
      </c>
      <c r="M72" s="403" t="e">
        <f t="shared" si="14"/>
        <v>#DIV/0!</v>
      </c>
      <c r="N72" s="403" t="e">
        <f t="shared" si="15"/>
        <v>#DIV/0!</v>
      </c>
      <c r="O72" s="403" t="e">
        <f t="shared" si="16"/>
        <v>#DIV/0!</v>
      </c>
      <c r="P72" s="403" t="e">
        <f t="shared" si="17"/>
        <v>#DIV/0!</v>
      </c>
      <c r="Q72" s="403" t="e">
        <f t="shared" si="18"/>
        <v>#DIV/0!</v>
      </c>
      <c r="R72" s="403" t="e">
        <f t="shared" si="19"/>
        <v>#DIV/0!</v>
      </c>
      <c r="S72" s="403" t="e">
        <f t="shared" si="20"/>
        <v>#DIV/0!</v>
      </c>
      <c r="T72" s="403" t="e">
        <f t="shared" si="21"/>
        <v>#DIV/0!</v>
      </c>
      <c r="U72" s="403" t="e">
        <f t="shared" si="22"/>
        <v>#DIV/0!</v>
      </c>
      <c r="V72" s="403" t="e">
        <f t="shared" si="23"/>
        <v>#DIV/0!</v>
      </c>
      <c r="W72" s="403" t="e">
        <f t="shared" si="24"/>
        <v>#DIV/0!</v>
      </c>
      <c r="X72" s="403" t="e">
        <f t="shared" si="25"/>
        <v>#DIV/0!</v>
      </c>
      <c r="Y72" s="403" t="e">
        <f t="shared" si="26"/>
        <v>#DIV/0!</v>
      </c>
      <c r="Z72" s="403" t="e">
        <f t="shared" si="27"/>
        <v>#DIV/0!</v>
      </c>
    </row>
    <row r="73" spans="2:26" x14ac:dyDescent="0.25">
      <c r="B73" s="402" t="e">
        <f>IRR(F73:Z73,'5'!$I$26/100)</f>
        <v>#VALUE!</v>
      </c>
      <c r="C73" s="484">
        <f t="shared" si="7"/>
        <v>0</v>
      </c>
      <c r="D73" s="402">
        <v>0.52</v>
      </c>
      <c r="E73" s="353">
        <f t="shared" si="29"/>
        <v>0</v>
      </c>
      <c r="F73" s="353">
        <f t="shared" si="28"/>
        <v>0</v>
      </c>
      <c r="G73" s="403" t="e">
        <f t="shared" si="8"/>
        <v>#DIV/0!</v>
      </c>
      <c r="H73" s="403" t="e">
        <f t="shared" si="9"/>
        <v>#DIV/0!</v>
      </c>
      <c r="I73" s="403" t="e">
        <f t="shared" si="10"/>
        <v>#DIV/0!</v>
      </c>
      <c r="J73" s="403" t="e">
        <f t="shared" si="11"/>
        <v>#DIV/0!</v>
      </c>
      <c r="K73" s="403" t="e">
        <f t="shared" si="12"/>
        <v>#DIV/0!</v>
      </c>
      <c r="L73" s="403" t="e">
        <f t="shared" si="13"/>
        <v>#DIV/0!</v>
      </c>
      <c r="M73" s="403" t="e">
        <f t="shared" si="14"/>
        <v>#DIV/0!</v>
      </c>
      <c r="N73" s="403" t="e">
        <f t="shared" si="15"/>
        <v>#DIV/0!</v>
      </c>
      <c r="O73" s="403" t="e">
        <f t="shared" si="16"/>
        <v>#DIV/0!</v>
      </c>
      <c r="P73" s="403" t="e">
        <f t="shared" si="17"/>
        <v>#DIV/0!</v>
      </c>
      <c r="Q73" s="403" t="e">
        <f t="shared" si="18"/>
        <v>#DIV/0!</v>
      </c>
      <c r="R73" s="403" t="e">
        <f t="shared" si="19"/>
        <v>#DIV/0!</v>
      </c>
      <c r="S73" s="403" t="e">
        <f t="shared" si="20"/>
        <v>#DIV/0!</v>
      </c>
      <c r="T73" s="403" t="e">
        <f t="shared" si="21"/>
        <v>#DIV/0!</v>
      </c>
      <c r="U73" s="403" t="e">
        <f t="shared" si="22"/>
        <v>#DIV/0!</v>
      </c>
      <c r="V73" s="403" t="e">
        <f t="shared" si="23"/>
        <v>#DIV/0!</v>
      </c>
      <c r="W73" s="403" t="e">
        <f t="shared" si="24"/>
        <v>#DIV/0!</v>
      </c>
      <c r="X73" s="403" t="e">
        <f t="shared" si="25"/>
        <v>#DIV/0!</v>
      </c>
      <c r="Y73" s="403" t="e">
        <f t="shared" si="26"/>
        <v>#DIV/0!</v>
      </c>
      <c r="Z73" s="403" t="e">
        <f t="shared" si="27"/>
        <v>#DIV/0!</v>
      </c>
    </row>
    <row r="74" spans="2:26" x14ac:dyDescent="0.25">
      <c r="B74" s="402" t="e">
        <f>IRR(F74:Z74,'5'!$I$26/100)</f>
        <v>#VALUE!</v>
      </c>
      <c r="C74" s="484">
        <f t="shared" si="7"/>
        <v>0</v>
      </c>
      <c r="D74" s="402">
        <v>0.53</v>
      </c>
      <c r="E74" s="353">
        <f t="shared" si="29"/>
        <v>0</v>
      </c>
      <c r="F74" s="353">
        <f t="shared" si="28"/>
        <v>0</v>
      </c>
      <c r="G74" s="403" t="e">
        <f t="shared" si="8"/>
        <v>#DIV/0!</v>
      </c>
      <c r="H74" s="403" t="e">
        <f t="shared" si="9"/>
        <v>#DIV/0!</v>
      </c>
      <c r="I74" s="403" t="e">
        <f t="shared" si="10"/>
        <v>#DIV/0!</v>
      </c>
      <c r="J74" s="403" t="e">
        <f t="shared" si="11"/>
        <v>#DIV/0!</v>
      </c>
      <c r="K74" s="403" t="e">
        <f t="shared" si="12"/>
        <v>#DIV/0!</v>
      </c>
      <c r="L74" s="403" t="e">
        <f t="shared" si="13"/>
        <v>#DIV/0!</v>
      </c>
      <c r="M74" s="403" t="e">
        <f t="shared" si="14"/>
        <v>#DIV/0!</v>
      </c>
      <c r="N74" s="403" t="e">
        <f t="shared" si="15"/>
        <v>#DIV/0!</v>
      </c>
      <c r="O74" s="403" t="e">
        <f t="shared" si="16"/>
        <v>#DIV/0!</v>
      </c>
      <c r="P74" s="403" t="e">
        <f t="shared" si="17"/>
        <v>#DIV/0!</v>
      </c>
      <c r="Q74" s="403" t="e">
        <f t="shared" si="18"/>
        <v>#DIV/0!</v>
      </c>
      <c r="R74" s="403" t="e">
        <f t="shared" si="19"/>
        <v>#DIV/0!</v>
      </c>
      <c r="S74" s="403" t="e">
        <f t="shared" si="20"/>
        <v>#DIV/0!</v>
      </c>
      <c r="T74" s="403" t="e">
        <f t="shared" si="21"/>
        <v>#DIV/0!</v>
      </c>
      <c r="U74" s="403" t="e">
        <f t="shared" si="22"/>
        <v>#DIV/0!</v>
      </c>
      <c r="V74" s="403" t="e">
        <f t="shared" si="23"/>
        <v>#DIV/0!</v>
      </c>
      <c r="W74" s="403" t="e">
        <f t="shared" si="24"/>
        <v>#DIV/0!</v>
      </c>
      <c r="X74" s="403" t="e">
        <f t="shared" si="25"/>
        <v>#DIV/0!</v>
      </c>
      <c r="Y74" s="403" t="e">
        <f t="shared" si="26"/>
        <v>#DIV/0!</v>
      </c>
      <c r="Z74" s="403" t="e">
        <f t="shared" si="27"/>
        <v>#DIV/0!</v>
      </c>
    </row>
    <row r="75" spans="2:26" x14ac:dyDescent="0.25">
      <c r="B75" s="402" t="e">
        <f>IRR(F75:Z75,'5'!$I$26/100)</f>
        <v>#VALUE!</v>
      </c>
      <c r="C75" s="484">
        <f t="shared" si="7"/>
        <v>0</v>
      </c>
      <c r="D75" s="402">
        <v>0.54</v>
      </c>
      <c r="E75" s="353">
        <f t="shared" si="29"/>
        <v>0</v>
      </c>
      <c r="F75" s="353">
        <f t="shared" si="28"/>
        <v>0</v>
      </c>
      <c r="G75" s="403" t="e">
        <f t="shared" si="8"/>
        <v>#DIV/0!</v>
      </c>
      <c r="H75" s="403" t="e">
        <f t="shared" si="9"/>
        <v>#DIV/0!</v>
      </c>
      <c r="I75" s="403" t="e">
        <f t="shared" si="10"/>
        <v>#DIV/0!</v>
      </c>
      <c r="J75" s="403" t="e">
        <f t="shared" si="11"/>
        <v>#DIV/0!</v>
      </c>
      <c r="K75" s="403" t="e">
        <f t="shared" si="12"/>
        <v>#DIV/0!</v>
      </c>
      <c r="L75" s="403" t="e">
        <f t="shared" si="13"/>
        <v>#DIV/0!</v>
      </c>
      <c r="M75" s="403" t="e">
        <f t="shared" si="14"/>
        <v>#DIV/0!</v>
      </c>
      <c r="N75" s="403" t="e">
        <f t="shared" si="15"/>
        <v>#DIV/0!</v>
      </c>
      <c r="O75" s="403" t="e">
        <f t="shared" si="16"/>
        <v>#DIV/0!</v>
      </c>
      <c r="P75" s="403" t="e">
        <f t="shared" si="17"/>
        <v>#DIV/0!</v>
      </c>
      <c r="Q75" s="403" t="e">
        <f t="shared" si="18"/>
        <v>#DIV/0!</v>
      </c>
      <c r="R75" s="403" t="e">
        <f t="shared" si="19"/>
        <v>#DIV/0!</v>
      </c>
      <c r="S75" s="403" t="e">
        <f t="shared" si="20"/>
        <v>#DIV/0!</v>
      </c>
      <c r="T75" s="403" t="e">
        <f t="shared" si="21"/>
        <v>#DIV/0!</v>
      </c>
      <c r="U75" s="403" t="e">
        <f t="shared" si="22"/>
        <v>#DIV/0!</v>
      </c>
      <c r="V75" s="403" t="e">
        <f t="shared" si="23"/>
        <v>#DIV/0!</v>
      </c>
      <c r="W75" s="403" t="e">
        <f t="shared" si="24"/>
        <v>#DIV/0!</v>
      </c>
      <c r="X75" s="403" t="e">
        <f t="shared" si="25"/>
        <v>#DIV/0!</v>
      </c>
      <c r="Y75" s="403" t="e">
        <f t="shared" si="26"/>
        <v>#DIV/0!</v>
      </c>
      <c r="Z75" s="403" t="e">
        <f t="shared" si="27"/>
        <v>#DIV/0!</v>
      </c>
    </row>
    <row r="76" spans="2:26" x14ac:dyDescent="0.25">
      <c r="B76" s="402" t="e">
        <f>IRR(F76:Z76,'5'!$I$26/100)</f>
        <v>#VALUE!</v>
      </c>
      <c r="C76" s="484">
        <f t="shared" si="7"/>
        <v>0</v>
      </c>
      <c r="D76" s="402">
        <v>0.55000000000000004</v>
      </c>
      <c r="E76" s="353">
        <f t="shared" si="29"/>
        <v>0</v>
      </c>
      <c r="F76" s="353">
        <f t="shared" si="28"/>
        <v>0</v>
      </c>
      <c r="G76" s="403" t="e">
        <f t="shared" si="8"/>
        <v>#DIV/0!</v>
      </c>
      <c r="H76" s="403" t="e">
        <f t="shared" si="9"/>
        <v>#DIV/0!</v>
      </c>
      <c r="I76" s="403" t="e">
        <f t="shared" si="10"/>
        <v>#DIV/0!</v>
      </c>
      <c r="J76" s="403" t="e">
        <f t="shared" si="11"/>
        <v>#DIV/0!</v>
      </c>
      <c r="K76" s="403" t="e">
        <f t="shared" si="12"/>
        <v>#DIV/0!</v>
      </c>
      <c r="L76" s="403" t="e">
        <f t="shared" si="13"/>
        <v>#DIV/0!</v>
      </c>
      <c r="M76" s="403" t="e">
        <f t="shared" si="14"/>
        <v>#DIV/0!</v>
      </c>
      <c r="N76" s="403" t="e">
        <f t="shared" si="15"/>
        <v>#DIV/0!</v>
      </c>
      <c r="O76" s="403" t="e">
        <f t="shared" si="16"/>
        <v>#DIV/0!</v>
      </c>
      <c r="P76" s="403" t="e">
        <f t="shared" si="17"/>
        <v>#DIV/0!</v>
      </c>
      <c r="Q76" s="403" t="e">
        <f t="shared" si="18"/>
        <v>#DIV/0!</v>
      </c>
      <c r="R76" s="403" t="e">
        <f t="shared" si="19"/>
        <v>#DIV/0!</v>
      </c>
      <c r="S76" s="403" t="e">
        <f t="shared" si="20"/>
        <v>#DIV/0!</v>
      </c>
      <c r="T76" s="403" t="e">
        <f t="shared" si="21"/>
        <v>#DIV/0!</v>
      </c>
      <c r="U76" s="403" t="e">
        <f t="shared" si="22"/>
        <v>#DIV/0!</v>
      </c>
      <c r="V76" s="403" t="e">
        <f t="shared" si="23"/>
        <v>#DIV/0!</v>
      </c>
      <c r="W76" s="403" t="e">
        <f t="shared" si="24"/>
        <v>#DIV/0!</v>
      </c>
      <c r="X76" s="403" t="e">
        <f t="shared" si="25"/>
        <v>#DIV/0!</v>
      </c>
      <c r="Y76" s="403" t="e">
        <f t="shared" si="26"/>
        <v>#DIV/0!</v>
      </c>
      <c r="Z76" s="403" t="e">
        <f t="shared" si="27"/>
        <v>#DIV/0!</v>
      </c>
    </row>
    <row r="77" spans="2:26" x14ac:dyDescent="0.25">
      <c r="B77" s="402" t="e">
        <f>IRR(F77:Z77,'5'!$I$26/100)</f>
        <v>#VALUE!</v>
      </c>
      <c r="C77" s="484">
        <f t="shared" si="7"/>
        <v>0</v>
      </c>
      <c r="D77" s="402">
        <v>0.56000000000000005</v>
      </c>
      <c r="E77" s="353">
        <f t="shared" si="29"/>
        <v>0</v>
      </c>
      <c r="F77" s="353">
        <f t="shared" si="28"/>
        <v>0</v>
      </c>
      <c r="G77" s="403" t="e">
        <f t="shared" si="8"/>
        <v>#DIV/0!</v>
      </c>
      <c r="H77" s="403" t="e">
        <f t="shared" si="9"/>
        <v>#DIV/0!</v>
      </c>
      <c r="I77" s="403" t="e">
        <f t="shared" si="10"/>
        <v>#DIV/0!</v>
      </c>
      <c r="J77" s="403" t="e">
        <f t="shared" si="11"/>
        <v>#DIV/0!</v>
      </c>
      <c r="K77" s="403" t="e">
        <f t="shared" si="12"/>
        <v>#DIV/0!</v>
      </c>
      <c r="L77" s="403" t="e">
        <f t="shared" si="13"/>
        <v>#DIV/0!</v>
      </c>
      <c r="M77" s="403" t="e">
        <f t="shared" si="14"/>
        <v>#DIV/0!</v>
      </c>
      <c r="N77" s="403" t="e">
        <f t="shared" si="15"/>
        <v>#DIV/0!</v>
      </c>
      <c r="O77" s="403" t="e">
        <f t="shared" si="16"/>
        <v>#DIV/0!</v>
      </c>
      <c r="P77" s="403" t="e">
        <f t="shared" si="17"/>
        <v>#DIV/0!</v>
      </c>
      <c r="Q77" s="403" t="e">
        <f t="shared" si="18"/>
        <v>#DIV/0!</v>
      </c>
      <c r="R77" s="403" t="e">
        <f t="shared" si="19"/>
        <v>#DIV/0!</v>
      </c>
      <c r="S77" s="403" t="e">
        <f t="shared" si="20"/>
        <v>#DIV/0!</v>
      </c>
      <c r="T77" s="403" t="e">
        <f t="shared" si="21"/>
        <v>#DIV/0!</v>
      </c>
      <c r="U77" s="403" t="e">
        <f t="shared" si="22"/>
        <v>#DIV/0!</v>
      </c>
      <c r="V77" s="403" t="e">
        <f t="shared" si="23"/>
        <v>#DIV/0!</v>
      </c>
      <c r="W77" s="403" t="e">
        <f t="shared" si="24"/>
        <v>#DIV/0!</v>
      </c>
      <c r="X77" s="403" t="e">
        <f t="shared" si="25"/>
        <v>#DIV/0!</v>
      </c>
      <c r="Y77" s="403" t="e">
        <f t="shared" si="26"/>
        <v>#DIV/0!</v>
      </c>
      <c r="Z77" s="403" t="e">
        <f t="shared" si="27"/>
        <v>#DIV/0!</v>
      </c>
    </row>
    <row r="78" spans="2:26" x14ac:dyDescent="0.25">
      <c r="B78" s="402" t="e">
        <f>IRR(F78:Z78,'5'!$I$26/100)</f>
        <v>#VALUE!</v>
      </c>
      <c r="C78" s="484">
        <f t="shared" si="7"/>
        <v>0</v>
      </c>
      <c r="D78" s="402">
        <v>0.56999999999999995</v>
      </c>
      <c r="E78" s="353">
        <f t="shared" si="29"/>
        <v>0</v>
      </c>
      <c r="F78" s="353">
        <f t="shared" si="28"/>
        <v>0</v>
      </c>
      <c r="G78" s="403" t="e">
        <f t="shared" si="8"/>
        <v>#DIV/0!</v>
      </c>
      <c r="H78" s="403" t="e">
        <f t="shared" si="9"/>
        <v>#DIV/0!</v>
      </c>
      <c r="I78" s="403" t="e">
        <f t="shared" si="10"/>
        <v>#DIV/0!</v>
      </c>
      <c r="J78" s="403" t="e">
        <f t="shared" si="11"/>
        <v>#DIV/0!</v>
      </c>
      <c r="K78" s="403" t="e">
        <f t="shared" si="12"/>
        <v>#DIV/0!</v>
      </c>
      <c r="L78" s="403" t="e">
        <f t="shared" si="13"/>
        <v>#DIV/0!</v>
      </c>
      <c r="M78" s="403" t="e">
        <f t="shared" si="14"/>
        <v>#DIV/0!</v>
      </c>
      <c r="N78" s="403" t="e">
        <f t="shared" si="15"/>
        <v>#DIV/0!</v>
      </c>
      <c r="O78" s="403" t="e">
        <f t="shared" si="16"/>
        <v>#DIV/0!</v>
      </c>
      <c r="P78" s="403" t="e">
        <f t="shared" si="17"/>
        <v>#DIV/0!</v>
      </c>
      <c r="Q78" s="403" t="e">
        <f t="shared" si="18"/>
        <v>#DIV/0!</v>
      </c>
      <c r="R78" s="403" t="e">
        <f t="shared" si="19"/>
        <v>#DIV/0!</v>
      </c>
      <c r="S78" s="403" t="e">
        <f t="shared" si="20"/>
        <v>#DIV/0!</v>
      </c>
      <c r="T78" s="403" t="e">
        <f t="shared" si="21"/>
        <v>#DIV/0!</v>
      </c>
      <c r="U78" s="403" t="e">
        <f t="shared" si="22"/>
        <v>#DIV/0!</v>
      </c>
      <c r="V78" s="403" t="e">
        <f t="shared" si="23"/>
        <v>#DIV/0!</v>
      </c>
      <c r="W78" s="403" t="e">
        <f t="shared" si="24"/>
        <v>#DIV/0!</v>
      </c>
      <c r="X78" s="403" t="e">
        <f t="shared" si="25"/>
        <v>#DIV/0!</v>
      </c>
      <c r="Y78" s="403" t="e">
        <f t="shared" si="26"/>
        <v>#DIV/0!</v>
      </c>
      <c r="Z78" s="403" t="e">
        <f t="shared" si="27"/>
        <v>#DIV/0!</v>
      </c>
    </row>
    <row r="79" spans="2:26" x14ac:dyDescent="0.25">
      <c r="B79" s="402" t="e">
        <f>IRR(F79:Z79,'5'!$I$26/100)</f>
        <v>#VALUE!</v>
      </c>
      <c r="C79" s="484">
        <f t="shared" si="7"/>
        <v>0</v>
      </c>
      <c r="D79" s="402">
        <v>0.57999999999999996</v>
      </c>
      <c r="E79" s="353">
        <f t="shared" si="29"/>
        <v>0</v>
      </c>
      <c r="F79" s="353">
        <f t="shared" si="28"/>
        <v>0</v>
      </c>
      <c r="G79" s="403" t="e">
        <f t="shared" si="8"/>
        <v>#DIV/0!</v>
      </c>
      <c r="H79" s="403" t="e">
        <f t="shared" si="9"/>
        <v>#DIV/0!</v>
      </c>
      <c r="I79" s="403" t="e">
        <f t="shared" si="10"/>
        <v>#DIV/0!</v>
      </c>
      <c r="J79" s="403" t="e">
        <f t="shared" si="11"/>
        <v>#DIV/0!</v>
      </c>
      <c r="K79" s="403" t="e">
        <f t="shared" si="12"/>
        <v>#DIV/0!</v>
      </c>
      <c r="L79" s="403" t="e">
        <f t="shared" si="13"/>
        <v>#DIV/0!</v>
      </c>
      <c r="M79" s="403" t="e">
        <f t="shared" si="14"/>
        <v>#DIV/0!</v>
      </c>
      <c r="N79" s="403" t="e">
        <f t="shared" si="15"/>
        <v>#DIV/0!</v>
      </c>
      <c r="O79" s="403" t="e">
        <f t="shared" si="16"/>
        <v>#DIV/0!</v>
      </c>
      <c r="P79" s="403" t="e">
        <f t="shared" si="17"/>
        <v>#DIV/0!</v>
      </c>
      <c r="Q79" s="403" t="e">
        <f t="shared" si="18"/>
        <v>#DIV/0!</v>
      </c>
      <c r="R79" s="403" t="e">
        <f t="shared" si="19"/>
        <v>#DIV/0!</v>
      </c>
      <c r="S79" s="403" t="e">
        <f t="shared" si="20"/>
        <v>#DIV/0!</v>
      </c>
      <c r="T79" s="403" t="e">
        <f t="shared" si="21"/>
        <v>#DIV/0!</v>
      </c>
      <c r="U79" s="403" t="e">
        <f t="shared" si="22"/>
        <v>#DIV/0!</v>
      </c>
      <c r="V79" s="403" t="e">
        <f t="shared" si="23"/>
        <v>#DIV/0!</v>
      </c>
      <c r="W79" s="403" t="e">
        <f t="shared" si="24"/>
        <v>#DIV/0!</v>
      </c>
      <c r="X79" s="403" t="e">
        <f t="shared" si="25"/>
        <v>#DIV/0!</v>
      </c>
      <c r="Y79" s="403" t="e">
        <f t="shared" si="26"/>
        <v>#DIV/0!</v>
      </c>
      <c r="Z79" s="403" t="e">
        <f t="shared" si="27"/>
        <v>#DIV/0!</v>
      </c>
    </row>
    <row r="80" spans="2:26" x14ac:dyDescent="0.25">
      <c r="B80" s="402" t="e">
        <f>IRR(F80:Z80,'5'!$I$26/100)</f>
        <v>#VALUE!</v>
      </c>
      <c r="C80" s="484">
        <f t="shared" si="7"/>
        <v>0</v>
      </c>
      <c r="D80" s="402">
        <v>0.59</v>
      </c>
      <c r="E80" s="353">
        <f t="shared" si="29"/>
        <v>0</v>
      </c>
      <c r="F80" s="353">
        <f t="shared" si="28"/>
        <v>0</v>
      </c>
      <c r="G80" s="403" t="e">
        <f t="shared" si="8"/>
        <v>#DIV/0!</v>
      </c>
      <c r="H80" s="403" t="e">
        <f t="shared" si="9"/>
        <v>#DIV/0!</v>
      </c>
      <c r="I80" s="403" t="e">
        <f t="shared" si="10"/>
        <v>#DIV/0!</v>
      </c>
      <c r="J80" s="403" t="e">
        <f t="shared" si="11"/>
        <v>#DIV/0!</v>
      </c>
      <c r="K80" s="403" t="e">
        <f t="shared" si="12"/>
        <v>#DIV/0!</v>
      </c>
      <c r="L80" s="403" t="e">
        <f t="shared" si="13"/>
        <v>#DIV/0!</v>
      </c>
      <c r="M80" s="403" t="e">
        <f t="shared" si="14"/>
        <v>#DIV/0!</v>
      </c>
      <c r="N80" s="403" t="e">
        <f t="shared" si="15"/>
        <v>#DIV/0!</v>
      </c>
      <c r="O80" s="403" t="e">
        <f t="shared" si="16"/>
        <v>#DIV/0!</v>
      </c>
      <c r="P80" s="403" t="e">
        <f t="shared" si="17"/>
        <v>#DIV/0!</v>
      </c>
      <c r="Q80" s="403" t="e">
        <f t="shared" si="18"/>
        <v>#DIV/0!</v>
      </c>
      <c r="R80" s="403" t="e">
        <f t="shared" si="19"/>
        <v>#DIV/0!</v>
      </c>
      <c r="S80" s="403" t="e">
        <f t="shared" si="20"/>
        <v>#DIV/0!</v>
      </c>
      <c r="T80" s="403" t="e">
        <f t="shared" si="21"/>
        <v>#DIV/0!</v>
      </c>
      <c r="U80" s="403" t="e">
        <f t="shared" si="22"/>
        <v>#DIV/0!</v>
      </c>
      <c r="V80" s="403" t="e">
        <f t="shared" si="23"/>
        <v>#DIV/0!</v>
      </c>
      <c r="W80" s="403" t="e">
        <f t="shared" si="24"/>
        <v>#DIV/0!</v>
      </c>
      <c r="X80" s="403" t="e">
        <f t="shared" si="25"/>
        <v>#DIV/0!</v>
      </c>
      <c r="Y80" s="403" t="e">
        <f t="shared" si="26"/>
        <v>#DIV/0!</v>
      </c>
      <c r="Z80" s="403" t="e">
        <f t="shared" si="27"/>
        <v>#DIV/0!</v>
      </c>
    </row>
    <row r="81" spans="2:26" x14ac:dyDescent="0.25">
      <c r="B81" s="402" t="e">
        <f>IRR(F81:Z81,'5'!$I$26/100)</f>
        <v>#VALUE!</v>
      </c>
      <c r="C81" s="484">
        <f t="shared" si="7"/>
        <v>0</v>
      </c>
      <c r="D81" s="402">
        <v>0.6</v>
      </c>
      <c r="E81" s="353">
        <f t="shared" si="29"/>
        <v>0</v>
      </c>
      <c r="F81" s="353">
        <f t="shared" si="28"/>
        <v>0</v>
      </c>
      <c r="G81" s="403" t="e">
        <f t="shared" si="8"/>
        <v>#DIV/0!</v>
      </c>
      <c r="H81" s="403" t="e">
        <f t="shared" si="9"/>
        <v>#DIV/0!</v>
      </c>
      <c r="I81" s="403" t="e">
        <f t="shared" si="10"/>
        <v>#DIV/0!</v>
      </c>
      <c r="J81" s="403" t="e">
        <f t="shared" si="11"/>
        <v>#DIV/0!</v>
      </c>
      <c r="K81" s="403" t="e">
        <f t="shared" si="12"/>
        <v>#DIV/0!</v>
      </c>
      <c r="L81" s="403" t="e">
        <f t="shared" si="13"/>
        <v>#DIV/0!</v>
      </c>
      <c r="M81" s="403" t="e">
        <f t="shared" si="14"/>
        <v>#DIV/0!</v>
      </c>
      <c r="N81" s="403" t="e">
        <f t="shared" si="15"/>
        <v>#DIV/0!</v>
      </c>
      <c r="O81" s="403" t="e">
        <f t="shared" si="16"/>
        <v>#DIV/0!</v>
      </c>
      <c r="P81" s="403" t="e">
        <f t="shared" si="17"/>
        <v>#DIV/0!</v>
      </c>
      <c r="Q81" s="403" t="e">
        <f t="shared" si="18"/>
        <v>#DIV/0!</v>
      </c>
      <c r="R81" s="403" t="e">
        <f t="shared" si="19"/>
        <v>#DIV/0!</v>
      </c>
      <c r="S81" s="403" t="e">
        <f t="shared" si="20"/>
        <v>#DIV/0!</v>
      </c>
      <c r="T81" s="403" t="e">
        <f t="shared" si="21"/>
        <v>#DIV/0!</v>
      </c>
      <c r="U81" s="403" t="e">
        <f t="shared" si="22"/>
        <v>#DIV/0!</v>
      </c>
      <c r="V81" s="403" t="e">
        <f t="shared" si="23"/>
        <v>#DIV/0!</v>
      </c>
      <c r="W81" s="403" t="e">
        <f t="shared" si="24"/>
        <v>#DIV/0!</v>
      </c>
      <c r="X81" s="403" t="e">
        <f t="shared" si="25"/>
        <v>#DIV/0!</v>
      </c>
      <c r="Y81" s="403" t="e">
        <f t="shared" si="26"/>
        <v>#DIV/0!</v>
      </c>
      <c r="Z81" s="403" t="e">
        <f t="shared" si="27"/>
        <v>#DIV/0!</v>
      </c>
    </row>
    <row r="82" spans="2:26" x14ac:dyDescent="0.25">
      <c r="B82" s="402" t="e">
        <f>IRR(F82:Z82,'5'!$I$26/100)</f>
        <v>#VALUE!</v>
      </c>
      <c r="C82" s="484">
        <f t="shared" si="7"/>
        <v>0</v>
      </c>
      <c r="D82" s="402">
        <v>0.61</v>
      </c>
      <c r="E82" s="353">
        <f t="shared" si="29"/>
        <v>0</v>
      </c>
      <c r="F82" s="353">
        <f t="shared" si="28"/>
        <v>0</v>
      </c>
      <c r="G82" s="403" t="e">
        <f t="shared" si="8"/>
        <v>#DIV/0!</v>
      </c>
      <c r="H82" s="403" t="e">
        <f t="shared" si="9"/>
        <v>#DIV/0!</v>
      </c>
      <c r="I82" s="403" t="e">
        <f t="shared" si="10"/>
        <v>#DIV/0!</v>
      </c>
      <c r="J82" s="403" t="e">
        <f t="shared" si="11"/>
        <v>#DIV/0!</v>
      </c>
      <c r="K82" s="403" t="e">
        <f t="shared" si="12"/>
        <v>#DIV/0!</v>
      </c>
      <c r="L82" s="403" t="e">
        <f t="shared" si="13"/>
        <v>#DIV/0!</v>
      </c>
      <c r="M82" s="403" t="e">
        <f t="shared" si="14"/>
        <v>#DIV/0!</v>
      </c>
      <c r="N82" s="403" t="e">
        <f t="shared" si="15"/>
        <v>#DIV/0!</v>
      </c>
      <c r="O82" s="403" t="e">
        <f t="shared" si="16"/>
        <v>#DIV/0!</v>
      </c>
      <c r="P82" s="403" t="e">
        <f t="shared" si="17"/>
        <v>#DIV/0!</v>
      </c>
      <c r="Q82" s="403" t="e">
        <f t="shared" si="18"/>
        <v>#DIV/0!</v>
      </c>
      <c r="R82" s="403" t="e">
        <f t="shared" si="19"/>
        <v>#DIV/0!</v>
      </c>
      <c r="S82" s="403" t="e">
        <f t="shared" si="20"/>
        <v>#DIV/0!</v>
      </c>
      <c r="T82" s="403" t="e">
        <f t="shared" si="21"/>
        <v>#DIV/0!</v>
      </c>
      <c r="U82" s="403" t="e">
        <f t="shared" si="22"/>
        <v>#DIV/0!</v>
      </c>
      <c r="V82" s="403" t="e">
        <f t="shared" si="23"/>
        <v>#DIV/0!</v>
      </c>
      <c r="W82" s="403" t="e">
        <f t="shared" si="24"/>
        <v>#DIV/0!</v>
      </c>
      <c r="X82" s="403" t="e">
        <f t="shared" si="25"/>
        <v>#DIV/0!</v>
      </c>
      <c r="Y82" s="403" t="e">
        <f t="shared" si="26"/>
        <v>#DIV/0!</v>
      </c>
      <c r="Z82" s="403" t="e">
        <f t="shared" si="27"/>
        <v>#DIV/0!</v>
      </c>
    </row>
    <row r="83" spans="2:26" x14ac:dyDescent="0.25">
      <c r="B83" s="402" t="e">
        <f>IRR(F83:Z83,'5'!$I$26/100)</f>
        <v>#VALUE!</v>
      </c>
      <c r="C83" s="484">
        <f t="shared" si="7"/>
        <v>0</v>
      </c>
      <c r="D83" s="402">
        <v>0.62</v>
      </c>
      <c r="E83" s="353">
        <f t="shared" si="29"/>
        <v>0</v>
      </c>
      <c r="F83" s="353">
        <f t="shared" si="28"/>
        <v>0</v>
      </c>
      <c r="G83" s="403" t="e">
        <f t="shared" si="8"/>
        <v>#DIV/0!</v>
      </c>
      <c r="H83" s="403" t="e">
        <f t="shared" si="9"/>
        <v>#DIV/0!</v>
      </c>
      <c r="I83" s="403" t="e">
        <f t="shared" si="10"/>
        <v>#DIV/0!</v>
      </c>
      <c r="J83" s="403" t="e">
        <f t="shared" si="11"/>
        <v>#DIV/0!</v>
      </c>
      <c r="K83" s="403" t="e">
        <f t="shared" si="12"/>
        <v>#DIV/0!</v>
      </c>
      <c r="L83" s="403" t="e">
        <f t="shared" si="13"/>
        <v>#DIV/0!</v>
      </c>
      <c r="M83" s="403" t="e">
        <f t="shared" si="14"/>
        <v>#DIV/0!</v>
      </c>
      <c r="N83" s="403" t="e">
        <f t="shared" si="15"/>
        <v>#DIV/0!</v>
      </c>
      <c r="O83" s="403" t="e">
        <f t="shared" si="16"/>
        <v>#DIV/0!</v>
      </c>
      <c r="P83" s="403" t="e">
        <f t="shared" si="17"/>
        <v>#DIV/0!</v>
      </c>
      <c r="Q83" s="403" t="e">
        <f t="shared" si="18"/>
        <v>#DIV/0!</v>
      </c>
      <c r="R83" s="403" t="e">
        <f t="shared" si="19"/>
        <v>#DIV/0!</v>
      </c>
      <c r="S83" s="403" t="e">
        <f t="shared" si="20"/>
        <v>#DIV/0!</v>
      </c>
      <c r="T83" s="403" t="e">
        <f t="shared" si="21"/>
        <v>#DIV/0!</v>
      </c>
      <c r="U83" s="403" t="e">
        <f t="shared" si="22"/>
        <v>#DIV/0!</v>
      </c>
      <c r="V83" s="403" t="e">
        <f t="shared" si="23"/>
        <v>#DIV/0!</v>
      </c>
      <c r="W83" s="403" t="e">
        <f t="shared" si="24"/>
        <v>#DIV/0!</v>
      </c>
      <c r="X83" s="403" t="e">
        <f t="shared" si="25"/>
        <v>#DIV/0!</v>
      </c>
      <c r="Y83" s="403" t="e">
        <f t="shared" si="26"/>
        <v>#DIV/0!</v>
      </c>
      <c r="Z83" s="403" t="e">
        <f t="shared" si="27"/>
        <v>#DIV/0!</v>
      </c>
    </row>
    <row r="84" spans="2:26" x14ac:dyDescent="0.25">
      <c r="B84" s="402" t="e">
        <f>IRR(F84:Z84,'5'!$I$26/100)</f>
        <v>#VALUE!</v>
      </c>
      <c r="C84" s="484">
        <f t="shared" si="7"/>
        <v>0</v>
      </c>
      <c r="D84" s="402">
        <v>0.63</v>
      </c>
      <c r="E84" s="353">
        <f t="shared" si="29"/>
        <v>0</v>
      </c>
      <c r="F84" s="353">
        <f t="shared" si="28"/>
        <v>0</v>
      </c>
      <c r="G84" s="403" t="e">
        <f t="shared" si="8"/>
        <v>#DIV/0!</v>
      </c>
      <c r="H84" s="403" t="e">
        <f t="shared" si="9"/>
        <v>#DIV/0!</v>
      </c>
      <c r="I84" s="403" t="e">
        <f t="shared" si="10"/>
        <v>#DIV/0!</v>
      </c>
      <c r="J84" s="403" t="e">
        <f t="shared" si="11"/>
        <v>#DIV/0!</v>
      </c>
      <c r="K84" s="403" t="e">
        <f t="shared" si="12"/>
        <v>#DIV/0!</v>
      </c>
      <c r="L84" s="403" t="e">
        <f t="shared" si="13"/>
        <v>#DIV/0!</v>
      </c>
      <c r="M84" s="403" t="e">
        <f t="shared" si="14"/>
        <v>#DIV/0!</v>
      </c>
      <c r="N84" s="403" t="e">
        <f t="shared" si="15"/>
        <v>#DIV/0!</v>
      </c>
      <c r="O84" s="403" t="e">
        <f t="shared" si="16"/>
        <v>#DIV/0!</v>
      </c>
      <c r="P84" s="403" t="e">
        <f t="shared" si="17"/>
        <v>#DIV/0!</v>
      </c>
      <c r="Q84" s="403" t="e">
        <f t="shared" si="18"/>
        <v>#DIV/0!</v>
      </c>
      <c r="R84" s="403" t="e">
        <f t="shared" si="19"/>
        <v>#DIV/0!</v>
      </c>
      <c r="S84" s="403" t="e">
        <f t="shared" si="20"/>
        <v>#DIV/0!</v>
      </c>
      <c r="T84" s="403" t="e">
        <f t="shared" si="21"/>
        <v>#DIV/0!</v>
      </c>
      <c r="U84" s="403" t="e">
        <f t="shared" si="22"/>
        <v>#DIV/0!</v>
      </c>
      <c r="V84" s="403" t="e">
        <f t="shared" si="23"/>
        <v>#DIV/0!</v>
      </c>
      <c r="W84" s="403" t="e">
        <f t="shared" si="24"/>
        <v>#DIV/0!</v>
      </c>
      <c r="X84" s="403" t="e">
        <f t="shared" si="25"/>
        <v>#DIV/0!</v>
      </c>
      <c r="Y84" s="403" t="e">
        <f t="shared" si="26"/>
        <v>#DIV/0!</v>
      </c>
      <c r="Z84" s="403" t="e">
        <f t="shared" si="27"/>
        <v>#DIV/0!</v>
      </c>
    </row>
    <row r="85" spans="2:26" x14ac:dyDescent="0.25">
      <c r="B85" s="402" t="e">
        <f>IRR(F85:Z85,'5'!$I$26/100)</f>
        <v>#VALUE!</v>
      </c>
      <c r="C85" s="484">
        <f t="shared" si="7"/>
        <v>0</v>
      </c>
      <c r="D85" s="402">
        <v>0.64</v>
      </c>
      <c r="E85" s="353">
        <f t="shared" si="29"/>
        <v>0</v>
      </c>
      <c r="F85" s="353">
        <f t="shared" ref="F85:F116" si="30">$C$21+E85</f>
        <v>0</v>
      </c>
      <c r="G85" s="403" t="e">
        <f t="shared" si="8"/>
        <v>#DIV/0!</v>
      </c>
      <c r="H85" s="403" t="e">
        <f t="shared" si="9"/>
        <v>#DIV/0!</v>
      </c>
      <c r="I85" s="403" t="e">
        <f t="shared" si="10"/>
        <v>#DIV/0!</v>
      </c>
      <c r="J85" s="403" t="e">
        <f t="shared" si="11"/>
        <v>#DIV/0!</v>
      </c>
      <c r="K85" s="403" t="e">
        <f t="shared" si="12"/>
        <v>#DIV/0!</v>
      </c>
      <c r="L85" s="403" t="e">
        <f t="shared" si="13"/>
        <v>#DIV/0!</v>
      </c>
      <c r="M85" s="403" t="e">
        <f t="shared" si="14"/>
        <v>#DIV/0!</v>
      </c>
      <c r="N85" s="403" t="e">
        <f t="shared" si="15"/>
        <v>#DIV/0!</v>
      </c>
      <c r="O85" s="403" t="e">
        <f t="shared" si="16"/>
        <v>#DIV/0!</v>
      </c>
      <c r="P85" s="403" t="e">
        <f t="shared" si="17"/>
        <v>#DIV/0!</v>
      </c>
      <c r="Q85" s="403" t="e">
        <f t="shared" si="18"/>
        <v>#DIV/0!</v>
      </c>
      <c r="R85" s="403" t="e">
        <f t="shared" si="19"/>
        <v>#DIV/0!</v>
      </c>
      <c r="S85" s="403" t="e">
        <f t="shared" si="20"/>
        <v>#DIV/0!</v>
      </c>
      <c r="T85" s="403" t="e">
        <f t="shared" si="21"/>
        <v>#DIV/0!</v>
      </c>
      <c r="U85" s="403" t="e">
        <f t="shared" si="22"/>
        <v>#DIV/0!</v>
      </c>
      <c r="V85" s="403" t="e">
        <f t="shared" si="23"/>
        <v>#DIV/0!</v>
      </c>
      <c r="W85" s="403" t="e">
        <f t="shared" si="24"/>
        <v>#DIV/0!</v>
      </c>
      <c r="X85" s="403" t="e">
        <f t="shared" si="25"/>
        <v>#DIV/0!</v>
      </c>
      <c r="Y85" s="403" t="e">
        <f t="shared" si="26"/>
        <v>#DIV/0!</v>
      </c>
      <c r="Z85" s="403" t="e">
        <f t="shared" si="27"/>
        <v>#DIV/0!</v>
      </c>
    </row>
    <row r="86" spans="2:26" x14ac:dyDescent="0.25">
      <c r="B86" s="402" t="e">
        <f>IRR(F86:Z86,'5'!$I$26/100)</f>
        <v>#VALUE!</v>
      </c>
      <c r="C86" s="484">
        <f t="shared" si="7"/>
        <v>0</v>
      </c>
      <c r="D86" s="402">
        <v>0.65</v>
      </c>
      <c r="E86" s="353">
        <f t="shared" ref="E86:E117" si="31">-$C$21*D86</f>
        <v>0</v>
      </c>
      <c r="F86" s="353">
        <f t="shared" si="30"/>
        <v>0</v>
      </c>
      <c r="G86" s="403" t="e">
        <f t="shared" si="8"/>
        <v>#DIV/0!</v>
      </c>
      <c r="H86" s="403" t="e">
        <f t="shared" si="9"/>
        <v>#DIV/0!</v>
      </c>
      <c r="I86" s="403" t="e">
        <f t="shared" si="10"/>
        <v>#DIV/0!</v>
      </c>
      <c r="J86" s="403" t="e">
        <f t="shared" si="11"/>
        <v>#DIV/0!</v>
      </c>
      <c r="K86" s="403" t="e">
        <f t="shared" si="12"/>
        <v>#DIV/0!</v>
      </c>
      <c r="L86" s="403" t="e">
        <f t="shared" si="13"/>
        <v>#DIV/0!</v>
      </c>
      <c r="M86" s="403" t="e">
        <f t="shared" si="14"/>
        <v>#DIV/0!</v>
      </c>
      <c r="N86" s="403" t="e">
        <f t="shared" si="15"/>
        <v>#DIV/0!</v>
      </c>
      <c r="O86" s="403" t="e">
        <f t="shared" si="16"/>
        <v>#DIV/0!</v>
      </c>
      <c r="P86" s="403" t="e">
        <f t="shared" si="17"/>
        <v>#DIV/0!</v>
      </c>
      <c r="Q86" s="403" t="e">
        <f t="shared" si="18"/>
        <v>#DIV/0!</v>
      </c>
      <c r="R86" s="403" t="e">
        <f t="shared" si="19"/>
        <v>#DIV/0!</v>
      </c>
      <c r="S86" s="403" t="e">
        <f t="shared" si="20"/>
        <v>#DIV/0!</v>
      </c>
      <c r="T86" s="403" t="e">
        <f t="shared" si="21"/>
        <v>#DIV/0!</v>
      </c>
      <c r="U86" s="403" t="e">
        <f t="shared" si="22"/>
        <v>#DIV/0!</v>
      </c>
      <c r="V86" s="403" t="e">
        <f t="shared" si="23"/>
        <v>#DIV/0!</v>
      </c>
      <c r="W86" s="403" t="e">
        <f t="shared" si="24"/>
        <v>#DIV/0!</v>
      </c>
      <c r="X86" s="403" t="e">
        <f t="shared" si="25"/>
        <v>#DIV/0!</v>
      </c>
      <c r="Y86" s="403" t="e">
        <f t="shared" si="26"/>
        <v>#DIV/0!</v>
      </c>
      <c r="Z86" s="403" t="e">
        <f t="shared" si="27"/>
        <v>#DIV/0!</v>
      </c>
    </row>
    <row r="87" spans="2:26" x14ac:dyDescent="0.25">
      <c r="B87" s="402" t="e">
        <f>IRR(F87:Z87,'5'!$I$26/100)</f>
        <v>#VALUE!</v>
      </c>
      <c r="C87" s="484">
        <f t="shared" ref="C87:C120" si="32">E88</f>
        <v>0</v>
      </c>
      <c r="D87" s="402">
        <v>0.66</v>
      </c>
      <c r="E87" s="353">
        <f t="shared" si="31"/>
        <v>0</v>
      </c>
      <c r="F87" s="353">
        <f t="shared" si="30"/>
        <v>0</v>
      </c>
      <c r="G87" s="403" t="e">
        <f t="shared" ref="G87:G121" si="33">IF(G86="","",G86)</f>
        <v>#DIV/0!</v>
      </c>
      <c r="H87" s="403" t="e">
        <f t="shared" ref="H87:H121" si="34">IF(H86="","",H86)</f>
        <v>#DIV/0!</v>
      </c>
      <c r="I87" s="403" t="e">
        <f t="shared" ref="I87:I121" si="35">IF(I86="","",I86)</f>
        <v>#DIV/0!</v>
      </c>
      <c r="J87" s="403" t="e">
        <f t="shared" ref="J87:J121" si="36">IF(J86="","",J86)</f>
        <v>#DIV/0!</v>
      </c>
      <c r="K87" s="403" t="e">
        <f t="shared" ref="K87:K121" si="37">IF(K86="","",K86)</f>
        <v>#DIV/0!</v>
      </c>
      <c r="L87" s="403" t="e">
        <f t="shared" ref="L87:L121" si="38">IF(L86="","",L86)</f>
        <v>#DIV/0!</v>
      </c>
      <c r="M87" s="403" t="e">
        <f t="shared" ref="M87:M121" si="39">IF(M86="","",M86)</f>
        <v>#DIV/0!</v>
      </c>
      <c r="N87" s="403" t="e">
        <f t="shared" ref="N87:N121" si="40">IF(N86="","",N86)</f>
        <v>#DIV/0!</v>
      </c>
      <c r="O87" s="403" t="e">
        <f t="shared" ref="O87:O121" si="41">IF(O86="","",O86)</f>
        <v>#DIV/0!</v>
      </c>
      <c r="P87" s="403" t="e">
        <f t="shared" ref="P87:P121" si="42">IF(P86="","",P86)</f>
        <v>#DIV/0!</v>
      </c>
      <c r="Q87" s="403" t="e">
        <f t="shared" ref="Q87:Q121" si="43">IF(Q86="","",Q86)</f>
        <v>#DIV/0!</v>
      </c>
      <c r="R87" s="403" t="e">
        <f t="shared" ref="R87:R121" si="44">IF(R86="","",R86)</f>
        <v>#DIV/0!</v>
      </c>
      <c r="S87" s="403" t="e">
        <f t="shared" ref="S87:S121" si="45">IF(S86="","",S86)</f>
        <v>#DIV/0!</v>
      </c>
      <c r="T87" s="403" t="e">
        <f t="shared" ref="T87:T121" si="46">IF(T86="","",T86)</f>
        <v>#DIV/0!</v>
      </c>
      <c r="U87" s="403" t="e">
        <f t="shared" ref="U87:U121" si="47">IF(U86="","",U86)</f>
        <v>#DIV/0!</v>
      </c>
      <c r="V87" s="403" t="e">
        <f t="shared" ref="V87:V121" si="48">IF(V86="","",V86)</f>
        <v>#DIV/0!</v>
      </c>
      <c r="W87" s="403" t="e">
        <f t="shared" ref="W87:W121" si="49">IF(W86="","",W86)</f>
        <v>#DIV/0!</v>
      </c>
      <c r="X87" s="403" t="e">
        <f t="shared" ref="X87:X121" si="50">IF(X86="","",X86)</f>
        <v>#DIV/0!</v>
      </c>
      <c r="Y87" s="403" t="e">
        <f t="shared" ref="Y87:Y121" si="51">IF(Y86="","",Y86)</f>
        <v>#DIV/0!</v>
      </c>
      <c r="Z87" s="403" t="e">
        <f t="shared" ref="Z87:Z121" si="52">IF(Z86="","",Z86)</f>
        <v>#DIV/0!</v>
      </c>
    </row>
    <row r="88" spans="2:26" x14ac:dyDescent="0.25">
      <c r="B88" s="402" t="e">
        <f>IRR(F88:Z88,'5'!$I$26/100)</f>
        <v>#VALUE!</v>
      </c>
      <c r="C88" s="484">
        <f t="shared" si="32"/>
        <v>0</v>
      </c>
      <c r="D88" s="402">
        <v>0.67</v>
      </c>
      <c r="E88" s="353">
        <f t="shared" si="31"/>
        <v>0</v>
      </c>
      <c r="F88" s="353">
        <f t="shared" si="30"/>
        <v>0</v>
      </c>
      <c r="G88" s="403" t="e">
        <f t="shared" si="33"/>
        <v>#DIV/0!</v>
      </c>
      <c r="H88" s="403" t="e">
        <f t="shared" si="34"/>
        <v>#DIV/0!</v>
      </c>
      <c r="I88" s="403" t="e">
        <f t="shared" si="35"/>
        <v>#DIV/0!</v>
      </c>
      <c r="J88" s="403" t="e">
        <f t="shared" si="36"/>
        <v>#DIV/0!</v>
      </c>
      <c r="K88" s="403" t="e">
        <f t="shared" si="37"/>
        <v>#DIV/0!</v>
      </c>
      <c r="L88" s="403" t="e">
        <f t="shared" si="38"/>
        <v>#DIV/0!</v>
      </c>
      <c r="M88" s="403" t="e">
        <f t="shared" si="39"/>
        <v>#DIV/0!</v>
      </c>
      <c r="N88" s="403" t="e">
        <f t="shared" si="40"/>
        <v>#DIV/0!</v>
      </c>
      <c r="O88" s="403" t="e">
        <f t="shared" si="41"/>
        <v>#DIV/0!</v>
      </c>
      <c r="P88" s="403" t="e">
        <f t="shared" si="42"/>
        <v>#DIV/0!</v>
      </c>
      <c r="Q88" s="403" t="e">
        <f t="shared" si="43"/>
        <v>#DIV/0!</v>
      </c>
      <c r="R88" s="403" t="e">
        <f t="shared" si="44"/>
        <v>#DIV/0!</v>
      </c>
      <c r="S88" s="403" t="e">
        <f t="shared" si="45"/>
        <v>#DIV/0!</v>
      </c>
      <c r="T88" s="403" t="e">
        <f t="shared" si="46"/>
        <v>#DIV/0!</v>
      </c>
      <c r="U88" s="403" t="e">
        <f t="shared" si="47"/>
        <v>#DIV/0!</v>
      </c>
      <c r="V88" s="403" t="e">
        <f t="shared" si="48"/>
        <v>#DIV/0!</v>
      </c>
      <c r="W88" s="403" t="e">
        <f t="shared" si="49"/>
        <v>#DIV/0!</v>
      </c>
      <c r="X88" s="403" t="e">
        <f t="shared" si="50"/>
        <v>#DIV/0!</v>
      </c>
      <c r="Y88" s="403" t="e">
        <f t="shared" si="51"/>
        <v>#DIV/0!</v>
      </c>
      <c r="Z88" s="403" t="e">
        <f t="shared" si="52"/>
        <v>#DIV/0!</v>
      </c>
    </row>
    <row r="89" spans="2:26" x14ac:dyDescent="0.25">
      <c r="B89" s="402" t="e">
        <f>IRR(F89:Z89,'5'!$I$26/100)</f>
        <v>#VALUE!</v>
      </c>
      <c r="C89" s="484">
        <f t="shared" si="32"/>
        <v>0</v>
      </c>
      <c r="D89" s="402">
        <v>0.68</v>
      </c>
      <c r="E89" s="353">
        <f t="shared" si="31"/>
        <v>0</v>
      </c>
      <c r="F89" s="353">
        <f t="shared" si="30"/>
        <v>0</v>
      </c>
      <c r="G89" s="403" t="e">
        <f t="shared" si="33"/>
        <v>#DIV/0!</v>
      </c>
      <c r="H89" s="403" t="e">
        <f t="shared" si="34"/>
        <v>#DIV/0!</v>
      </c>
      <c r="I89" s="403" t="e">
        <f t="shared" si="35"/>
        <v>#DIV/0!</v>
      </c>
      <c r="J89" s="403" t="e">
        <f t="shared" si="36"/>
        <v>#DIV/0!</v>
      </c>
      <c r="K89" s="403" t="e">
        <f t="shared" si="37"/>
        <v>#DIV/0!</v>
      </c>
      <c r="L89" s="403" t="e">
        <f t="shared" si="38"/>
        <v>#DIV/0!</v>
      </c>
      <c r="M89" s="403" t="e">
        <f t="shared" si="39"/>
        <v>#DIV/0!</v>
      </c>
      <c r="N89" s="403" t="e">
        <f t="shared" si="40"/>
        <v>#DIV/0!</v>
      </c>
      <c r="O89" s="403" t="e">
        <f t="shared" si="41"/>
        <v>#DIV/0!</v>
      </c>
      <c r="P89" s="403" t="e">
        <f t="shared" si="42"/>
        <v>#DIV/0!</v>
      </c>
      <c r="Q89" s="403" t="e">
        <f t="shared" si="43"/>
        <v>#DIV/0!</v>
      </c>
      <c r="R89" s="403" t="e">
        <f t="shared" si="44"/>
        <v>#DIV/0!</v>
      </c>
      <c r="S89" s="403" t="e">
        <f t="shared" si="45"/>
        <v>#DIV/0!</v>
      </c>
      <c r="T89" s="403" t="e">
        <f t="shared" si="46"/>
        <v>#DIV/0!</v>
      </c>
      <c r="U89" s="403" t="e">
        <f t="shared" si="47"/>
        <v>#DIV/0!</v>
      </c>
      <c r="V89" s="403" t="e">
        <f t="shared" si="48"/>
        <v>#DIV/0!</v>
      </c>
      <c r="W89" s="403" t="e">
        <f t="shared" si="49"/>
        <v>#DIV/0!</v>
      </c>
      <c r="X89" s="403" t="e">
        <f t="shared" si="50"/>
        <v>#DIV/0!</v>
      </c>
      <c r="Y89" s="403" t="e">
        <f t="shared" si="51"/>
        <v>#DIV/0!</v>
      </c>
      <c r="Z89" s="403" t="e">
        <f t="shared" si="52"/>
        <v>#DIV/0!</v>
      </c>
    </row>
    <row r="90" spans="2:26" x14ac:dyDescent="0.25">
      <c r="B90" s="402" t="e">
        <f>IRR(F90:Z90,'5'!$I$26/100)</f>
        <v>#VALUE!</v>
      </c>
      <c r="C90" s="484">
        <f t="shared" si="32"/>
        <v>0</v>
      </c>
      <c r="D90" s="402">
        <v>0.69</v>
      </c>
      <c r="E90" s="353">
        <f t="shared" si="31"/>
        <v>0</v>
      </c>
      <c r="F90" s="353">
        <f t="shared" si="30"/>
        <v>0</v>
      </c>
      <c r="G90" s="403" t="e">
        <f t="shared" si="33"/>
        <v>#DIV/0!</v>
      </c>
      <c r="H90" s="403" t="e">
        <f t="shared" si="34"/>
        <v>#DIV/0!</v>
      </c>
      <c r="I90" s="403" t="e">
        <f t="shared" si="35"/>
        <v>#DIV/0!</v>
      </c>
      <c r="J90" s="403" t="e">
        <f t="shared" si="36"/>
        <v>#DIV/0!</v>
      </c>
      <c r="K90" s="403" t="e">
        <f t="shared" si="37"/>
        <v>#DIV/0!</v>
      </c>
      <c r="L90" s="403" t="e">
        <f t="shared" si="38"/>
        <v>#DIV/0!</v>
      </c>
      <c r="M90" s="403" t="e">
        <f t="shared" si="39"/>
        <v>#DIV/0!</v>
      </c>
      <c r="N90" s="403" t="e">
        <f t="shared" si="40"/>
        <v>#DIV/0!</v>
      </c>
      <c r="O90" s="403" t="e">
        <f t="shared" si="41"/>
        <v>#DIV/0!</v>
      </c>
      <c r="P90" s="403" t="e">
        <f t="shared" si="42"/>
        <v>#DIV/0!</v>
      </c>
      <c r="Q90" s="403" t="e">
        <f t="shared" si="43"/>
        <v>#DIV/0!</v>
      </c>
      <c r="R90" s="403" t="e">
        <f t="shared" si="44"/>
        <v>#DIV/0!</v>
      </c>
      <c r="S90" s="403" t="e">
        <f t="shared" si="45"/>
        <v>#DIV/0!</v>
      </c>
      <c r="T90" s="403" t="e">
        <f t="shared" si="46"/>
        <v>#DIV/0!</v>
      </c>
      <c r="U90" s="403" t="e">
        <f t="shared" si="47"/>
        <v>#DIV/0!</v>
      </c>
      <c r="V90" s="403" t="e">
        <f t="shared" si="48"/>
        <v>#DIV/0!</v>
      </c>
      <c r="W90" s="403" t="e">
        <f t="shared" si="49"/>
        <v>#DIV/0!</v>
      </c>
      <c r="X90" s="403" t="e">
        <f t="shared" si="50"/>
        <v>#DIV/0!</v>
      </c>
      <c r="Y90" s="403" t="e">
        <f t="shared" si="51"/>
        <v>#DIV/0!</v>
      </c>
      <c r="Z90" s="403" t="e">
        <f t="shared" si="52"/>
        <v>#DIV/0!</v>
      </c>
    </row>
    <row r="91" spans="2:26" x14ac:dyDescent="0.25">
      <c r="B91" s="402" t="e">
        <f>IRR(F91:Z91,'5'!$I$26/100)</f>
        <v>#VALUE!</v>
      </c>
      <c r="C91" s="484">
        <f t="shared" si="32"/>
        <v>0</v>
      </c>
      <c r="D91" s="402">
        <v>0.7</v>
      </c>
      <c r="E91" s="353">
        <f t="shared" si="31"/>
        <v>0</v>
      </c>
      <c r="F91" s="353">
        <f t="shared" si="30"/>
        <v>0</v>
      </c>
      <c r="G91" s="403" t="e">
        <f t="shared" si="33"/>
        <v>#DIV/0!</v>
      </c>
      <c r="H91" s="403" t="e">
        <f t="shared" si="34"/>
        <v>#DIV/0!</v>
      </c>
      <c r="I91" s="403" t="e">
        <f t="shared" si="35"/>
        <v>#DIV/0!</v>
      </c>
      <c r="J91" s="403" t="e">
        <f t="shared" si="36"/>
        <v>#DIV/0!</v>
      </c>
      <c r="K91" s="403" t="e">
        <f t="shared" si="37"/>
        <v>#DIV/0!</v>
      </c>
      <c r="L91" s="403" t="e">
        <f t="shared" si="38"/>
        <v>#DIV/0!</v>
      </c>
      <c r="M91" s="403" t="e">
        <f t="shared" si="39"/>
        <v>#DIV/0!</v>
      </c>
      <c r="N91" s="403" t="e">
        <f t="shared" si="40"/>
        <v>#DIV/0!</v>
      </c>
      <c r="O91" s="403" t="e">
        <f t="shared" si="41"/>
        <v>#DIV/0!</v>
      </c>
      <c r="P91" s="403" t="e">
        <f t="shared" si="42"/>
        <v>#DIV/0!</v>
      </c>
      <c r="Q91" s="403" t="e">
        <f t="shared" si="43"/>
        <v>#DIV/0!</v>
      </c>
      <c r="R91" s="403" t="e">
        <f t="shared" si="44"/>
        <v>#DIV/0!</v>
      </c>
      <c r="S91" s="403" t="e">
        <f t="shared" si="45"/>
        <v>#DIV/0!</v>
      </c>
      <c r="T91" s="403" t="e">
        <f t="shared" si="46"/>
        <v>#DIV/0!</v>
      </c>
      <c r="U91" s="403" t="e">
        <f t="shared" si="47"/>
        <v>#DIV/0!</v>
      </c>
      <c r="V91" s="403" t="e">
        <f t="shared" si="48"/>
        <v>#DIV/0!</v>
      </c>
      <c r="W91" s="403" t="e">
        <f t="shared" si="49"/>
        <v>#DIV/0!</v>
      </c>
      <c r="X91" s="403" t="e">
        <f t="shared" si="50"/>
        <v>#DIV/0!</v>
      </c>
      <c r="Y91" s="403" t="e">
        <f t="shared" si="51"/>
        <v>#DIV/0!</v>
      </c>
      <c r="Z91" s="403" t="e">
        <f t="shared" si="52"/>
        <v>#DIV/0!</v>
      </c>
    </row>
    <row r="92" spans="2:26" x14ac:dyDescent="0.25">
      <c r="B92" s="402" t="e">
        <f>IRR(F92:Z92,'5'!$I$26/100)</f>
        <v>#VALUE!</v>
      </c>
      <c r="C92" s="484">
        <f t="shared" si="32"/>
        <v>0</v>
      </c>
      <c r="D92" s="402">
        <v>0.71</v>
      </c>
      <c r="E92" s="353">
        <f t="shared" si="31"/>
        <v>0</v>
      </c>
      <c r="F92" s="353">
        <f t="shared" si="30"/>
        <v>0</v>
      </c>
      <c r="G92" s="403" t="e">
        <f t="shared" si="33"/>
        <v>#DIV/0!</v>
      </c>
      <c r="H92" s="403" t="e">
        <f t="shared" si="34"/>
        <v>#DIV/0!</v>
      </c>
      <c r="I92" s="403" t="e">
        <f t="shared" si="35"/>
        <v>#DIV/0!</v>
      </c>
      <c r="J92" s="403" t="e">
        <f t="shared" si="36"/>
        <v>#DIV/0!</v>
      </c>
      <c r="K92" s="403" t="e">
        <f t="shared" si="37"/>
        <v>#DIV/0!</v>
      </c>
      <c r="L92" s="403" t="e">
        <f t="shared" si="38"/>
        <v>#DIV/0!</v>
      </c>
      <c r="M92" s="403" t="e">
        <f t="shared" si="39"/>
        <v>#DIV/0!</v>
      </c>
      <c r="N92" s="403" t="e">
        <f t="shared" si="40"/>
        <v>#DIV/0!</v>
      </c>
      <c r="O92" s="403" t="e">
        <f t="shared" si="41"/>
        <v>#DIV/0!</v>
      </c>
      <c r="P92" s="403" t="e">
        <f t="shared" si="42"/>
        <v>#DIV/0!</v>
      </c>
      <c r="Q92" s="403" t="e">
        <f t="shared" si="43"/>
        <v>#DIV/0!</v>
      </c>
      <c r="R92" s="403" t="e">
        <f t="shared" si="44"/>
        <v>#DIV/0!</v>
      </c>
      <c r="S92" s="403" t="e">
        <f t="shared" si="45"/>
        <v>#DIV/0!</v>
      </c>
      <c r="T92" s="403" t="e">
        <f t="shared" si="46"/>
        <v>#DIV/0!</v>
      </c>
      <c r="U92" s="403" t="e">
        <f t="shared" si="47"/>
        <v>#DIV/0!</v>
      </c>
      <c r="V92" s="403" t="e">
        <f t="shared" si="48"/>
        <v>#DIV/0!</v>
      </c>
      <c r="W92" s="403" t="e">
        <f t="shared" si="49"/>
        <v>#DIV/0!</v>
      </c>
      <c r="X92" s="403" t="e">
        <f t="shared" si="50"/>
        <v>#DIV/0!</v>
      </c>
      <c r="Y92" s="403" t="e">
        <f t="shared" si="51"/>
        <v>#DIV/0!</v>
      </c>
      <c r="Z92" s="403" t="e">
        <f t="shared" si="52"/>
        <v>#DIV/0!</v>
      </c>
    </row>
    <row r="93" spans="2:26" x14ac:dyDescent="0.25">
      <c r="B93" s="402" t="e">
        <f>IRR(F93:Z93,'5'!$I$26/100)</f>
        <v>#VALUE!</v>
      </c>
      <c r="C93" s="484">
        <f t="shared" si="32"/>
        <v>0</v>
      </c>
      <c r="D93" s="402">
        <v>0.72</v>
      </c>
      <c r="E93" s="353">
        <f t="shared" si="31"/>
        <v>0</v>
      </c>
      <c r="F93" s="353">
        <f t="shared" si="30"/>
        <v>0</v>
      </c>
      <c r="G93" s="403" t="e">
        <f t="shared" si="33"/>
        <v>#DIV/0!</v>
      </c>
      <c r="H93" s="403" t="e">
        <f t="shared" si="34"/>
        <v>#DIV/0!</v>
      </c>
      <c r="I93" s="403" t="e">
        <f t="shared" si="35"/>
        <v>#DIV/0!</v>
      </c>
      <c r="J93" s="403" t="e">
        <f t="shared" si="36"/>
        <v>#DIV/0!</v>
      </c>
      <c r="K93" s="403" t="e">
        <f t="shared" si="37"/>
        <v>#DIV/0!</v>
      </c>
      <c r="L93" s="403" t="e">
        <f t="shared" si="38"/>
        <v>#DIV/0!</v>
      </c>
      <c r="M93" s="403" t="e">
        <f t="shared" si="39"/>
        <v>#DIV/0!</v>
      </c>
      <c r="N93" s="403" t="e">
        <f t="shared" si="40"/>
        <v>#DIV/0!</v>
      </c>
      <c r="O93" s="403" t="e">
        <f t="shared" si="41"/>
        <v>#DIV/0!</v>
      </c>
      <c r="P93" s="403" t="e">
        <f t="shared" si="42"/>
        <v>#DIV/0!</v>
      </c>
      <c r="Q93" s="403" t="e">
        <f t="shared" si="43"/>
        <v>#DIV/0!</v>
      </c>
      <c r="R93" s="403" t="e">
        <f t="shared" si="44"/>
        <v>#DIV/0!</v>
      </c>
      <c r="S93" s="403" t="e">
        <f t="shared" si="45"/>
        <v>#DIV/0!</v>
      </c>
      <c r="T93" s="403" t="e">
        <f t="shared" si="46"/>
        <v>#DIV/0!</v>
      </c>
      <c r="U93" s="403" t="e">
        <f t="shared" si="47"/>
        <v>#DIV/0!</v>
      </c>
      <c r="V93" s="403" t="e">
        <f t="shared" si="48"/>
        <v>#DIV/0!</v>
      </c>
      <c r="W93" s="403" t="e">
        <f t="shared" si="49"/>
        <v>#DIV/0!</v>
      </c>
      <c r="X93" s="403" t="e">
        <f t="shared" si="50"/>
        <v>#DIV/0!</v>
      </c>
      <c r="Y93" s="403" t="e">
        <f t="shared" si="51"/>
        <v>#DIV/0!</v>
      </c>
      <c r="Z93" s="403" t="e">
        <f t="shared" si="52"/>
        <v>#DIV/0!</v>
      </c>
    </row>
    <row r="94" spans="2:26" x14ac:dyDescent="0.25">
      <c r="B94" s="402" t="e">
        <f>IRR(F94:Z94,'5'!$I$26/100)</f>
        <v>#VALUE!</v>
      </c>
      <c r="C94" s="484">
        <f t="shared" si="32"/>
        <v>0</v>
      </c>
      <c r="D94" s="402">
        <v>0.73</v>
      </c>
      <c r="E94" s="353">
        <f t="shared" si="31"/>
        <v>0</v>
      </c>
      <c r="F94" s="353">
        <f t="shared" si="30"/>
        <v>0</v>
      </c>
      <c r="G94" s="403" t="e">
        <f t="shared" si="33"/>
        <v>#DIV/0!</v>
      </c>
      <c r="H94" s="403" t="e">
        <f t="shared" si="34"/>
        <v>#DIV/0!</v>
      </c>
      <c r="I94" s="403" t="e">
        <f t="shared" si="35"/>
        <v>#DIV/0!</v>
      </c>
      <c r="J94" s="403" t="e">
        <f t="shared" si="36"/>
        <v>#DIV/0!</v>
      </c>
      <c r="K94" s="403" t="e">
        <f t="shared" si="37"/>
        <v>#DIV/0!</v>
      </c>
      <c r="L94" s="403" t="e">
        <f t="shared" si="38"/>
        <v>#DIV/0!</v>
      </c>
      <c r="M94" s="403" t="e">
        <f t="shared" si="39"/>
        <v>#DIV/0!</v>
      </c>
      <c r="N94" s="403" t="e">
        <f t="shared" si="40"/>
        <v>#DIV/0!</v>
      </c>
      <c r="O94" s="403" t="e">
        <f t="shared" si="41"/>
        <v>#DIV/0!</v>
      </c>
      <c r="P94" s="403" t="e">
        <f t="shared" si="42"/>
        <v>#DIV/0!</v>
      </c>
      <c r="Q94" s="403" t="e">
        <f t="shared" si="43"/>
        <v>#DIV/0!</v>
      </c>
      <c r="R94" s="403" t="e">
        <f t="shared" si="44"/>
        <v>#DIV/0!</v>
      </c>
      <c r="S94" s="403" t="e">
        <f t="shared" si="45"/>
        <v>#DIV/0!</v>
      </c>
      <c r="T94" s="403" t="e">
        <f t="shared" si="46"/>
        <v>#DIV/0!</v>
      </c>
      <c r="U94" s="403" t="e">
        <f t="shared" si="47"/>
        <v>#DIV/0!</v>
      </c>
      <c r="V94" s="403" t="e">
        <f t="shared" si="48"/>
        <v>#DIV/0!</v>
      </c>
      <c r="W94" s="403" t="e">
        <f t="shared" si="49"/>
        <v>#DIV/0!</v>
      </c>
      <c r="X94" s="403" t="e">
        <f t="shared" si="50"/>
        <v>#DIV/0!</v>
      </c>
      <c r="Y94" s="403" t="e">
        <f t="shared" si="51"/>
        <v>#DIV/0!</v>
      </c>
      <c r="Z94" s="403" t="e">
        <f t="shared" si="52"/>
        <v>#DIV/0!</v>
      </c>
    </row>
    <row r="95" spans="2:26" x14ac:dyDescent="0.25">
      <c r="B95" s="402" t="e">
        <f>IRR(F95:Z95,'5'!$I$26/100)</f>
        <v>#VALUE!</v>
      </c>
      <c r="C95" s="484">
        <f t="shared" si="32"/>
        <v>0</v>
      </c>
      <c r="D95" s="402">
        <v>0.74</v>
      </c>
      <c r="E95" s="353">
        <f t="shared" si="31"/>
        <v>0</v>
      </c>
      <c r="F95" s="353">
        <f t="shared" si="30"/>
        <v>0</v>
      </c>
      <c r="G95" s="403" t="e">
        <f t="shared" si="33"/>
        <v>#DIV/0!</v>
      </c>
      <c r="H95" s="403" t="e">
        <f t="shared" si="34"/>
        <v>#DIV/0!</v>
      </c>
      <c r="I95" s="403" t="e">
        <f t="shared" si="35"/>
        <v>#DIV/0!</v>
      </c>
      <c r="J95" s="403" t="e">
        <f t="shared" si="36"/>
        <v>#DIV/0!</v>
      </c>
      <c r="K95" s="403" t="e">
        <f t="shared" si="37"/>
        <v>#DIV/0!</v>
      </c>
      <c r="L95" s="403" t="e">
        <f t="shared" si="38"/>
        <v>#DIV/0!</v>
      </c>
      <c r="M95" s="403" t="e">
        <f t="shared" si="39"/>
        <v>#DIV/0!</v>
      </c>
      <c r="N95" s="403" t="e">
        <f t="shared" si="40"/>
        <v>#DIV/0!</v>
      </c>
      <c r="O95" s="403" t="e">
        <f t="shared" si="41"/>
        <v>#DIV/0!</v>
      </c>
      <c r="P95" s="403" t="e">
        <f t="shared" si="42"/>
        <v>#DIV/0!</v>
      </c>
      <c r="Q95" s="403" t="e">
        <f t="shared" si="43"/>
        <v>#DIV/0!</v>
      </c>
      <c r="R95" s="403" t="e">
        <f t="shared" si="44"/>
        <v>#DIV/0!</v>
      </c>
      <c r="S95" s="403" t="e">
        <f t="shared" si="45"/>
        <v>#DIV/0!</v>
      </c>
      <c r="T95" s="403" t="e">
        <f t="shared" si="46"/>
        <v>#DIV/0!</v>
      </c>
      <c r="U95" s="403" t="e">
        <f t="shared" si="47"/>
        <v>#DIV/0!</v>
      </c>
      <c r="V95" s="403" t="e">
        <f t="shared" si="48"/>
        <v>#DIV/0!</v>
      </c>
      <c r="W95" s="403" t="e">
        <f t="shared" si="49"/>
        <v>#DIV/0!</v>
      </c>
      <c r="X95" s="403" t="e">
        <f t="shared" si="50"/>
        <v>#DIV/0!</v>
      </c>
      <c r="Y95" s="403" t="e">
        <f t="shared" si="51"/>
        <v>#DIV/0!</v>
      </c>
      <c r="Z95" s="403" t="e">
        <f t="shared" si="52"/>
        <v>#DIV/0!</v>
      </c>
    </row>
    <row r="96" spans="2:26" x14ac:dyDescent="0.25">
      <c r="B96" s="402" t="e">
        <f>IRR(F96:Z96,'5'!$I$26/100)</f>
        <v>#VALUE!</v>
      </c>
      <c r="C96" s="484">
        <f t="shared" si="32"/>
        <v>0</v>
      </c>
      <c r="D96" s="402">
        <v>0.75</v>
      </c>
      <c r="E96" s="353">
        <f t="shared" si="31"/>
        <v>0</v>
      </c>
      <c r="F96" s="353">
        <f t="shared" si="30"/>
        <v>0</v>
      </c>
      <c r="G96" s="403" t="e">
        <f t="shared" si="33"/>
        <v>#DIV/0!</v>
      </c>
      <c r="H96" s="403" t="e">
        <f t="shared" si="34"/>
        <v>#DIV/0!</v>
      </c>
      <c r="I96" s="403" t="e">
        <f t="shared" si="35"/>
        <v>#DIV/0!</v>
      </c>
      <c r="J96" s="403" t="e">
        <f t="shared" si="36"/>
        <v>#DIV/0!</v>
      </c>
      <c r="K96" s="403" t="e">
        <f t="shared" si="37"/>
        <v>#DIV/0!</v>
      </c>
      <c r="L96" s="403" t="e">
        <f t="shared" si="38"/>
        <v>#DIV/0!</v>
      </c>
      <c r="M96" s="403" t="e">
        <f t="shared" si="39"/>
        <v>#DIV/0!</v>
      </c>
      <c r="N96" s="403" t="e">
        <f t="shared" si="40"/>
        <v>#DIV/0!</v>
      </c>
      <c r="O96" s="403" t="e">
        <f t="shared" si="41"/>
        <v>#DIV/0!</v>
      </c>
      <c r="P96" s="403" t="e">
        <f t="shared" si="42"/>
        <v>#DIV/0!</v>
      </c>
      <c r="Q96" s="403" t="e">
        <f t="shared" si="43"/>
        <v>#DIV/0!</v>
      </c>
      <c r="R96" s="403" t="e">
        <f t="shared" si="44"/>
        <v>#DIV/0!</v>
      </c>
      <c r="S96" s="403" t="e">
        <f t="shared" si="45"/>
        <v>#DIV/0!</v>
      </c>
      <c r="T96" s="403" t="e">
        <f t="shared" si="46"/>
        <v>#DIV/0!</v>
      </c>
      <c r="U96" s="403" t="e">
        <f t="shared" si="47"/>
        <v>#DIV/0!</v>
      </c>
      <c r="V96" s="403" t="e">
        <f t="shared" si="48"/>
        <v>#DIV/0!</v>
      </c>
      <c r="W96" s="403" t="e">
        <f t="shared" si="49"/>
        <v>#DIV/0!</v>
      </c>
      <c r="X96" s="403" t="e">
        <f t="shared" si="50"/>
        <v>#DIV/0!</v>
      </c>
      <c r="Y96" s="403" t="e">
        <f t="shared" si="51"/>
        <v>#DIV/0!</v>
      </c>
      <c r="Z96" s="403" t="e">
        <f t="shared" si="52"/>
        <v>#DIV/0!</v>
      </c>
    </row>
    <row r="97" spans="2:26" x14ac:dyDescent="0.25">
      <c r="B97" s="402" t="e">
        <f>IRR(F97:Z97,'5'!$I$26/100)</f>
        <v>#VALUE!</v>
      </c>
      <c r="C97" s="484">
        <f t="shared" si="32"/>
        <v>0</v>
      </c>
      <c r="D97" s="402">
        <v>0.76</v>
      </c>
      <c r="E97" s="353">
        <f t="shared" si="31"/>
        <v>0</v>
      </c>
      <c r="F97" s="353">
        <f t="shared" si="30"/>
        <v>0</v>
      </c>
      <c r="G97" s="403" t="e">
        <f t="shared" si="33"/>
        <v>#DIV/0!</v>
      </c>
      <c r="H97" s="403" t="e">
        <f t="shared" si="34"/>
        <v>#DIV/0!</v>
      </c>
      <c r="I97" s="403" t="e">
        <f t="shared" si="35"/>
        <v>#DIV/0!</v>
      </c>
      <c r="J97" s="403" t="e">
        <f t="shared" si="36"/>
        <v>#DIV/0!</v>
      </c>
      <c r="K97" s="403" t="e">
        <f t="shared" si="37"/>
        <v>#DIV/0!</v>
      </c>
      <c r="L97" s="403" t="e">
        <f t="shared" si="38"/>
        <v>#DIV/0!</v>
      </c>
      <c r="M97" s="403" t="e">
        <f t="shared" si="39"/>
        <v>#DIV/0!</v>
      </c>
      <c r="N97" s="403" t="e">
        <f t="shared" si="40"/>
        <v>#DIV/0!</v>
      </c>
      <c r="O97" s="403" t="e">
        <f t="shared" si="41"/>
        <v>#DIV/0!</v>
      </c>
      <c r="P97" s="403" t="e">
        <f t="shared" si="42"/>
        <v>#DIV/0!</v>
      </c>
      <c r="Q97" s="403" t="e">
        <f t="shared" si="43"/>
        <v>#DIV/0!</v>
      </c>
      <c r="R97" s="403" t="e">
        <f t="shared" si="44"/>
        <v>#DIV/0!</v>
      </c>
      <c r="S97" s="403" t="e">
        <f t="shared" si="45"/>
        <v>#DIV/0!</v>
      </c>
      <c r="T97" s="403" t="e">
        <f t="shared" si="46"/>
        <v>#DIV/0!</v>
      </c>
      <c r="U97" s="403" t="e">
        <f t="shared" si="47"/>
        <v>#DIV/0!</v>
      </c>
      <c r="V97" s="403" t="e">
        <f t="shared" si="48"/>
        <v>#DIV/0!</v>
      </c>
      <c r="W97" s="403" t="e">
        <f t="shared" si="49"/>
        <v>#DIV/0!</v>
      </c>
      <c r="X97" s="403" t="e">
        <f t="shared" si="50"/>
        <v>#DIV/0!</v>
      </c>
      <c r="Y97" s="403" t="e">
        <f t="shared" si="51"/>
        <v>#DIV/0!</v>
      </c>
      <c r="Z97" s="403" t="e">
        <f t="shared" si="52"/>
        <v>#DIV/0!</v>
      </c>
    </row>
    <row r="98" spans="2:26" x14ac:dyDescent="0.25">
      <c r="B98" s="402" t="e">
        <f>IRR(F98:Z98,'5'!$I$26/100)</f>
        <v>#VALUE!</v>
      </c>
      <c r="C98" s="484">
        <f t="shared" si="32"/>
        <v>0</v>
      </c>
      <c r="D98" s="402">
        <v>0.77</v>
      </c>
      <c r="E98" s="353">
        <f t="shared" si="31"/>
        <v>0</v>
      </c>
      <c r="F98" s="353">
        <f t="shared" si="30"/>
        <v>0</v>
      </c>
      <c r="G98" s="403" t="e">
        <f t="shared" si="33"/>
        <v>#DIV/0!</v>
      </c>
      <c r="H98" s="403" t="e">
        <f t="shared" si="34"/>
        <v>#DIV/0!</v>
      </c>
      <c r="I98" s="403" t="e">
        <f t="shared" si="35"/>
        <v>#DIV/0!</v>
      </c>
      <c r="J98" s="403" t="e">
        <f t="shared" si="36"/>
        <v>#DIV/0!</v>
      </c>
      <c r="K98" s="403" t="e">
        <f t="shared" si="37"/>
        <v>#DIV/0!</v>
      </c>
      <c r="L98" s="403" t="e">
        <f t="shared" si="38"/>
        <v>#DIV/0!</v>
      </c>
      <c r="M98" s="403" t="e">
        <f t="shared" si="39"/>
        <v>#DIV/0!</v>
      </c>
      <c r="N98" s="403" t="e">
        <f t="shared" si="40"/>
        <v>#DIV/0!</v>
      </c>
      <c r="O98" s="403" t="e">
        <f t="shared" si="41"/>
        <v>#DIV/0!</v>
      </c>
      <c r="P98" s="403" t="e">
        <f t="shared" si="42"/>
        <v>#DIV/0!</v>
      </c>
      <c r="Q98" s="403" t="e">
        <f t="shared" si="43"/>
        <v>#DIV/0!</v>
      </c>
      <c r="R98" s="403" t="e">
        <f t="shared" si="44"/>
        <v>#DIV/0!</v>
      </c>
      <c r="S98" s="403" t="e">
        <f t="shared" si="45"/>
        <v>#DIV/0!</v>
      </c>
      <c r="T98" s="403" t="e">
        <f t="shared" si="46"/>
        <v>#DIV/0!</v>
      </c>
      <c r="U98" s="403" t="e">
        <f t="shared" si="47"/>
        <v>#DIV/0!</v>
      </c>
      <c r="V98" s="403" t="e">
        <f t="shared" si="48"/>
        <v>#DIV/0!</v>
      </c>
      <c r="W98" s="403" t="e">
        <f t="shared" si="49"/>
        <v>#DIV/0!</v>
      </c>
      <c r="X98" s="403" t="e">
        <f t="shared" si="50"/>
        <v>#DIV/0!</v>
      </c>
      <c r="Y98" s="403" t="e">
        <f t="shared" si="51"/>
        <v>#DIV/0!</v>
      </c>
      <c r="Z98" s="403" t="e">
        <f t="shared" si="52"/>
        <v>#DIV/0!</v>
      </c>
    </row>
    <row r="99" spans="2:26" x14ac:dyDescent="0.25">
      <c r="B99" s="402" t="e">
        <f>IRR(F99:Z99,'5'!$I$26/100)</f>
        <v>#VALUE!</v>
      </c>
      <c r="C99" s="484">
        <f t="shared" si="32"/>
        <v>0</v>
      </c>
      <c r="D99" s="402">
        <v>0.78</v>
      </c>
      <c r="E99" s="353">
        <f t="shared" si="31"/>
        <v>0</v>
      </c>
      <c r="F99" s="353">
        <f t="shared" si="30"/>
        <v>0</v>
      </c>
      <c r="G99" s="403" t="e">
        <f t="shared" si="33"/>
        <v>#DIV/0!</v>
      </c>
      <c r="H99" s="403" t="e">
        <f t="shared" si="34"/>
        <v>#DIV/0!</v>
      </c>
      <c r="I99" s="403" t="e">
        <f t="shared" si="35"/>
        <v>#DIV/0!</v>
      </c>
      <c r="J99" s="403" t="e">
        <f t="shared" si="36"/>
        <v>#DIV/0!</v>
      </c>
      <c r="K99" s="403" t="e">
        <f t="shared" si="37"/>
        <v>#DIV/0!</v>
      </c>
      <c r="L99" s="403" t="e">
        <f t="shared" si="38"/>
        <v>#DIV/0!</v>
      </c>
      <c r="M99" s="403" t="e">
        <f t="shared" si="39"/>
        <v>#DIV/0!</v>
      </c>
      <c r="N99" s="403" t="e">
        <f t="shared" si="40"/>
        <v>#DIV/0!</v>
      </c>
      <c r="O99" s="403" t="e">
        <f t="shared" si="41"/>
        <v>#DIV/0!</v>
      </c>
      <c r="P99" s="403" t="e">
        <f t="shared" si="42"/>
        <v>#DIV/0!</v>
      </c>
      <c r="Q99" s="403" t="e">
        <f t="shared" si="43"/>
        <v>#DIV/0!</v>
      </c>
      <c r="R99" s="403" t="e">
        <f t="shared" si="44"/>
        <v>#DIV/0!</v>
      </c>
      <c r="S99" s="403" t="e">
        <f t="shared" si="45"/>
        <v>#DIV/0!</v>
      </c>
      <c r="T99" s="403" t="e">
        <f t="shared" si="46"/>
        <v>#DIV/0!</v>
      </c>
      <c r="U99" s="403" t="e">
        <f t="shared" si="47"/>
        <v>#DIV/0!</v>
      </c>
      <c r="V99" s="403" t="e">
        <f t="shared" si="48"/>
        <v>#DIV/0!</v>
      </c>
      <c r="W99" s="403" t="e">
        <f t="shared" si="49"/>
        <v>#DIV/0!</v>
      </c>
      <c r="X99" s="403" t="e">
        <f t="shared" si="50"/>
        <v>#DIV/0!</v>
      </c>
      <c r="Y99" s="403" t="e">
        <f t="shared" si="51"/>
        <v>#DIV/0!</v>
      </c>
      <c r="Z99" s="403" t="e">
        <f t="shared" si="52"/>
        <v>#DIV/0!</v>
      </c>
    </row>
    <row r="100" spans="2:26" x14ac:dyDescent="0.25">
      <c r="B100" s="402" t="e">
        <f>IRR(F100:Z100,'5'!$I$26/100)</f>
        <v>#VALUE!</v>
      </c>
      <c r="C100" s="484">
        <f t="shared" si="32"/>
        <v>0</v>
      </c>
      <c r="D100" s="402">
        <v>0.79</v>
      </c>
      <c r="E100" s="353">
        <f t="shared" si="31"/>
        <v>0</v>
      </c>
      <c r="F100" s="353">
        <f t="shared" si="30"/>
        <v>0</v>
      </c>
      <c r="G100" s="403" t="e">
        <f t="shared" si="33"/>
        <v>#DIV/0!</v>
      </c>
      <c r="H100" s="403" t="e">
        <f t="shared" si="34"/>
        <v>#DIV/0!</v>
      </c>
      <c r="I100" s="403" t="e">
        <f t="shared" si="35"/>
        <v>#DIV/0!</v>
      </c>
      <c r="J100" s="403" t="e">
        <f t="shared" si="36"/>
        <v>#DIV/0!</v>
      </c>
      <c r="K100" s="403" t="e">
        <f t="shared" si="37"/>
        <v>#DIV/0!</v>
      </c>
      <c r="L100" s="403" t="e">
        <f t="shared" si="38"/>
        <v>#DIV/0!</v>
      </c>
      <c r="M100" s="403" t="e">
        <f t="shared" si="39"/>
        <v>#DIV/0!</v>
      </c>
      <c r="N100" s="403" t="e">
        <f t="shared" si="40"/>
        <v>#DIV/0!</v>
      </c>
      <c r="O100" s="403" t="e">
        <f t="shared" si="41"/>
        <v>#DIV/0!</v>
      </c>
      <c r="P100" s="403" t="e">
        <f t="shared" si="42"/>
        <v>#DIV/0!</v>
      </c>
      <c r="Q100" s="403" t="e">
        <f t="shared" si="43"/>
        <v>#DIV/0!</v>
      </c>
      <c r="R100" s="403" t="e">
        <f t="shared" si="44"/>
        <v>#DIV/0!</v>
      </c>
      <c r="S100" s="403" t="e">
        <f t="shared" si="45"/>
        <v>#DIV/0!</v>
      </c>
      <c r="T100" s="403" t="e">
        <f t="shared" si="46"/>
        <v>#DIV/0!</v>
      </c>
      <c r="U100" s="403" t="e">
        <f t="shared" si="47"/>
        <v>#DIV/0!</v>
      </c>
      <c r="V100" s="403" t="e">
        <f t="shared" si="48"/>
        <v>#DIV/0!</v>
      </c>
      <c r="W100" s="403" t="e">
        <f t="shared" si="49"/>
        <v>#DIV/0!</v>
      </c>
      <c r="X100" s="403" t="e">
        <f t="shared" si="50"/>
        <v>#DIV/0!</v>
      </c>
      <c r="Y100" s="403" t="e">
        <f t="shared" si="51"/>
        <v>#DIV/0!</v>
      </c>
      <c r="Z100" s="403" t="e">
        <f t="shared" si="52"/>
        <v>#DIV/0!</v>
      </c>
    </row>
    <row r="101" spans="2:26" x14ac:dyDescent="0.25">
      <c r="B101" s="402" t="e">
        <f>IRR(F101:Z101,'5'!$I$26/100)</f>
        <v>#VALUE!</v>
      </c>
      <c r="C101" s="484">
        <f t="shared" si="32"/>
        <v>0</v>
      </c>
      <c r="D101" s="402">
        <v>0.8</v>
      </c>
      <c r="E101" s="353">
        <f t="shared" si="31"/>
        <v>0</v>
      </c>
      <c r="F101" s="353">
        <f t="shared" si="30"/>
        <v>0</v>
      </c>
      <c r="G101" s="403" t="e">
        <f t="shared" si="33"/>
        <v>#DIV/0!</v>
      </c>
      <c r="H101" s="403" t="e">
        <f t="shared" si="34"/>
        <v>#DIV/0!</v>
      </c>
      <c r="I101" s="403" t="e">
        <f t="shared" si="35"/>
        <v>#DIV/0!</v>
      </c>
      <c r="J101" s="403" t="e">
        <f t="shared" si="36"/>
        <v>#DIV/0!</v>
      </c>
      <c r="K101" s="403" t="e">
        <f t="shared" si="37"/>
        <v>#DIV/0!</v>
      </c>
      <c r="L101" s="403" t="e">
        <f t="shared" si="38"/>
        <v>#DIV/0!</v>
      </c>
      <c r="M101" s="403" t="e">
        <f t="shared" si="39"/>
        <v>#DIV/0!</v>
      </c>
      <c r="N101" s="403" t="e">
        <f t="shared" si="40"/>
        <v>#DIV/0!</v>
      </c>
      <c r="O101" s="403" t="e">
        <f t="shared" si="41"/>
        <v>#DIV/0!</v>
      </c>
      <c r="P101" s="403" t="e">
        <f t="shared" si="42"/>
        <v>#DIV/0!</v>
      </c>
      <c r="Q101" s="403" t="e">
        <f t="shared" si="43"/>
        <v>#DIV/0!</v>
      </c>
      <c r="R101" s="403" t="e">
        <f t="shared" si="44"/>
        <v>#DIV/0!</v>
      </c>
      <c r="S101" s="403" t="e">
        <f t="shared" si="45"/>
        <v>#DIV/0!</v>
      </c>
      <c r="T101" s="403" t="e">
        <f t="shared" si="46"/>
        <v>#DIV/0!</v>
      </c>
      <c r="U101" s="403" t="e">
        <f t="shared" si="47"/>
        <v>#DIV/0!</v>
      </c>
      <c r="V101" s="403" t="e">
        <f t="shared" si="48"/>
        <v>#DIV/0!</v>
      </c>
      <c r="W101" s="403" t="e">
        <f t="shared" si="49"/>
        <v>#DIV/0!</v>
      </c>
      <c r="X101" s="403" t="e">
        <f t="shared" si="50"/>
        <v>#DIV/0!</v>
      </c>
      <c r="Y101" s="403" t="e">
        <f t="shared" si="51"/>
        <v>#DIV/0!</v>
      </c>
      <c r="Z101" s="403" t="e">
        <f t="shared" si="52"/>
        <v>#DIV/0!</v>
      </c>
    </row>
    <row r="102" spans="2:26" x14ac:dyDescent="0.25">
      <c r="B102" s="402" t="e">
        <f>IRR(F102:Z102,'5'!$I$26/100)</f>
        <v>#VALUE!</v>
      </c>
      <c r="C102" s="484">
        <f t="shared" si="32"/>
        <v>0</v>
      </c>
      <c r="D102" s="402">
        <v>0.81</v>
      </c>
      <c r="E102" s="353">
        <f t="shared" si="31"/>
        <v>0</v>
      </c>
      <c r="F102" s="353">
        <f t="shared" si="30"/>
        <v>0</v>
      </c>
      <c r="G102" s="403" t="e">
        <f t="shared" si="33"/>
        <v>#DIV/0!</v>
      </c>
      <c r="H102" s="403" t="e">
        <f t="shared" si="34"/>
        <v>#DIV/0!</v>
      </c>
      <c r="I102" s="403" t="e">
        <f t="shared" si="35"/>
        <v>#DIV/0!</v>
      </c>
      <c r="J102" s="403" t="e">
        <f t="shared" si="36"/>
        <v>#DIV/0!</v>
      </c>
      <c r="K102" s="403" t="e">
        <f t="shared" si="37"/>
        <v>#DIV/0!</v>
      </c>
      <c r="L102" s="403" t="e">
        <f t="shared" si="38"/>
        <v>#DIV/0!</v>
      </c>
      <c r="M102" s="403" t="e">
        <f t="shared" si="39"/>
        <v>#DIV/0!</v>
      </c>
      <c r="N102" s="403" t="e">
        <f t="shared" si="40"/>
        <v>#DIV/0!</v>
      </c>
      <c r="O102" s="403" t="e">
        <f t="shared" si="41"/>
        <v>#DIV/0!</v>
      </c>
      <c r="P102" s="403" t="e">
        <f t="shared" si="42"/>
        <v>#DIV/0!</v>
      </c>
      <c r="Q102" s="403" t="e">
        <f t="shared" si="43"/>
        <v>#DIV/0!</v>
      </c>
      <c r="R102" s="403" t="e">
        <f t="shared" si="44"/>
        <v>#DIV/0!</v>
      </c>
      <c r="S102" s="403" t="e">
        <f t="shared" si="45"/>
        <v>#DIV/0!</v>
      </c>
      <c r="T102" s="403" t="e">
        <f t="shared" si="46"/>
        <v>#DIV/0!</v>
      </c>
      <c r="U102" s="403" t="e">
        <f t="shared" si="47"/>
        <v>#DIV/0!</v>
      </c>
      <c r="V102" s="403" t="e">
        <f t="shared" si="48"/>
        <v>#DIV/0!</v>
      </c>
      <c r="W102" s="403" t="e">
        <f t="shared" si="49"/>
        <v>#DIV/0!</v>
      </c>
      <c r="X102" s="403" t="e">
        <f t="shared" si="50"/>
        <v>#DIV/0!</v>
      </c>
      <c r="Y102" s="403" t="e">
        <f t="shared" si="51"/>
        <v>#DIV/0!</v>
      </c>
      <c r="Z102" s="403" t="e">
        <f t="shared" si="52"/>
        <v>#DIV/0!</v>
      </c>
    </row>
    <row r="103" spans="2:26" x14ac:dyDescent="0.25">
      <c r="B103" s="402" t="e">
        <f>IRR(F103:Z103,'5'!$I$26/100)</f>
        <v>#VALUE!</v>
      </c>
      <c r="C103" s="484">
        <f t="shared" si="32"/>
        <v>0</v>
      </c>
      <c r="D103" s="402">
        <v>0.82</v>
      </c>
      <c r="E103" s="353">
        <f t="shared" si="31"/>
        <v>0</v>
      </c>
      <c r="F103" s="353">
        <f t="shared" si="30"/>
        <v>0</v>
      </c>
      <c r="G103" s="403" t="e">
        <f t="shared" si="33"/>
        <v>#DIV/0!</v>
      </c>
      <c r="H103" s="403" t="e">
        <f t="shared" si="34"/>
        <v>#DIV/0!</v>
      </c>
      <c r="I103" s="403" t="e">
        <f t="shared" si="35"/>
        <v>#DIV/0!</v>
      </c>
      <c r="J103" s="403" t="e">
        <f t="shared" si="36"/>
        <v>#DIV/0!</v>
      </c>
      <c r="K103" s="403" t="e">
        <f t="shared" si="37"/>
        <v>#DIV/0!</v>
      </c>
      <c r="L103" s="403" t="e">
        <f t="shared" si="38"/>
        <v>#DIV/0!</v>
      </c>
      <c r="M103" s="403" t="e">
        <f t="shared" si="39"/>
        <v>#DIV/0!</v>
      </c>
      <c r="N103" s="403" t="e">
        <f t="shared" si="40"/>
        <v>#DIV/0!</v>
      </c>
      <c r="O103" s="403" t="e">
        <f t="shared" si="41"/>
        <v>#DIV/0!</v>
      </c>
      <c r="P103" s="403" t="e">
        <f t="shared" si="42"/>
        <v>#DIV/0!</v>
      </c>
      <c r="Q103" s="403" t="e">
        <f t="shared" si="43"/>
        <v>#DIV/0!</v>
      </c>
      <c r="R103" s="403" t="e">
        <f t="shared" si="44"/>
        <v>#DIV/0!</v>
      </c>
      <c r="S103" s="403" t="e">
        <f t="shared" si="45"/>
        <v>#DIV/0!</v>
      </c>
      <c r="T103" s="403" t="e">
        <f t="shared" si="46"/>
        <v>#DIV/0!</v>
      </c>
      <c r="U103" s="403" t="e">
        <f t="shared" si="47"/>
        <v>#DIV/0!</v>
      </c>
      <c r="V103" s="403" t="e">
        <f t="shared" si="48"/>
        <v>#DIV/0!</v>
      </c>
      <c r="W103" s="403" t="e">
        <f t="shared" si="49"/>
        <v>#DIV/0!</v>
      </c>
      <c r="X103" s="403" t="e">
        <f t="shared" si="50"/>
        <v>#DIV/0!</v>
      </c>
      <c r="Y103" s="403" t="e">
        <f t="shared" si="51"/>
        <v>#DIV/0!</v>
      </c>
      <c r="Z103" s="403" t="e">
        <f t="shared" si="52"/>
        <v>#DIV/0!</v>
      </c>
    </row>
    <row r="104" spans="2:26" x14ac:dyDescent="0.25">
      <c r="B104" s="402" t="e">
        <f>IRR(F104:Z104,'5'!$I$26/100)</f>
        <v>#VALUE!</v>
      </c>
      <c r="C104" s="484">
        <f t="shared" si="32"/>
        <v>0</v>
      </c>
      <c r="D104" s="402">
        <v>0.83</v>
      </c>
      <c r="E104" s="353">
        <f t="shared" si="31"/>
        <v>0</v>
      </c>
      <c r="F104" s="353">
        <f t="shared" si="30"/>
        <v>0</v>
      </c>
      <c r="G104" s="403" t="e">
        <f t="shared" si="33"/>
        <v>#DIV/0!</v>
      </c>
      <c r="H104" s="403" t="e">
        <f t="shared" si="34"/>
        <v>#DIV/0!</v>
      </c>
      <c r="I104" s="403" t="e">
        <f t="shared" si="35"/>
        <v>#DIV/0!</v>
      </c>
      <c r="J104" s="403" t="e">
        <f t="shared" si="36"/>
        <v>#DIV/0!</v>
      </c>
      <c r="K104" s="403" t="e">
        <f t="shared" si="37"/>
        <v>#DIV/0!</v>
      </c>
      <c r="L104" s="403" t="e">
        <f t="shared" si="38"/>
        <v>#DIV/0!</v>
      </c>
      <c r="M104" s="403" t="e">
        <f t="shared" si="39"/>
        <v>#DIV/0!</v>
      </c>
      <c r="N104" s="403" t="e">
        <f t="shared" si="40"/>
        <v>#DIV/0!</v>
      </c>
      <c r="O104" s="403" t="e">
        <f t="shared" si="41"/>
        <v>#DIV/0!</v>
      </c>
      <c r="P104" s="403" t="e">
        <f t="shared" si="42"/>
        <v>#DIV/0!</v>
      </c>
      <c r="Q104" s="403" t="e">
        <f t="shared" si="43"/>
        <v>#DIV/0!</v>
      </c>
      <c r="R104" s="403" t="e">
        <f t="shared" si="44"/>
        <v>#DIV/0!</v>
      </c>
      <c r="S104" s="403" t="e">
        <f t="shared" si="45"/>
        <v>#DIV/0!</v>
      </c>
      <c r="T104" s="403" t="e">
        <f t="shared" si="46"/>
        <v>#DIV/0!</v>
      </c>
      <c r="U104" s="403" t="e">
        <f t="shared" si="47"/>
        <v>#DIV/0!</v>
      </c>
      <c r="V104" s="403" t="e">
        <f t="shared" si="48"/>
        <v>#DIV/0!</v>
      </c>
      <c r="W104" s="403" t="e">
        <f t="shared" si="49"/>
        <v>#DIV/0!</v>
      </c>
      <c r="X104" s="403" t="e">
        <f t="shared" si="50"/>
        <v>#DIV/0!</v>
      </c>
      <c r="Y104" s="403" t="e">
        <f t="shared" si="51"/>
        <v>#DIV/0!</v>
      </c>
      <c r="Z104" s="403" t="e">
        <f t="shared" si="52"/>
        <v>#DIV/0!</v>
      </c>
    </row>
    <row r="105" spans="2:26" x14ac:dyDescent="0.25">
      <c r="B105" s="402" t="e">
        <f>IRR(F105:Z105,'5'!$I$26/100)</f>
        <v>#VALUE!</v>
      </c>
      <c r="C105" s="484">
        <f t="shared" si="32"/>
        <v>0</v>
      </c>
      <c r="D105" s="402">
        <v>0.84</v>
      </c>
      <c r="E105" s="353">
        <f t="shared" si="31"/>
        <v>0</v>
      </c>
      <c r="F105" s="353">
        <f t="shared" si="30"/>
        <v>0</v>
      </c>
      <c r="G105" s="403" t="e">
        <f t="shared" si="33"/>
        <v>#DIV/0!</v>
      </c>
      <c r="H105" s="403" t="e">
        <f t="shared" si="34"/>
        <v>#DIV/0!</v>
      </c>
      <c r="I105" s="403" t="e">
        <f t="shared" si="35"/>
        <v>#DIV/0!</v>
      </c>
      <c r="J105" s="403" t="e">
        <f t="shared" si="36"/>
        <v>#DIV/0!</v>
      </c>
      <c r="K105" s="403" t="e">
        <f t="shared" si="37"/>
        <v>#DIV/0!</v>
      </c>
      <c r="L105" s="403" t="e">
        <f t="shared" si="38"/>
        <v>#DIV/0!</v>
      </c>
      <c r="M105" s="403" t="e">
        <f t="shared" si="39"/>
        <v>#DIV/0!</v>
      </c>
      <c r="N105" s="403" t="e">
        <f t="shared" si="40"/>
        <v>#DIV/0!</v>
      </c>
      <c r="O105" s="403" t="e">
        <f t="shared" si="41"/>
        <v>#DIV/0!</v>
      </c>
      <c r="P105" s="403" t="e">
        <f t="shared" si="42"/>
        <v>#DIV/0!</v>
      </c>
      <c r="Q105" s="403" t="e">
        <f t="shared" si="43"/>
        <v>#DIV/0!</v>
      </c>
      <c r="R105" s="403" t="e">
        <f t="shared" si="44"/>
        <v>#DIV/0!</v>
      </c>
      <c r="S105" s="403" t="e">
        <f t="shared" si="45"/>
        <v>#DIV/0!</v>
      </c>
      <c r="T105" s="403" t="e">
        <f t="shared" si="46"/>
        <v>#DIV/0!</v>
      </c>
      <c r="U105" s="403" t="e">
        <f t="shared" si="47"/>
        <v>#DIV/0!</v>
      </c>
      <c r="V105" s="403" t="e">
        <f t="shared" si="48"/>
        <v>#DIV/0!</v>
      </c>
      <c r="W105" s="403" t="e">
        <f t="shared" si="49"/>
        <v>#DIV/0!</v>
      </c>
      <c r="X105" s="403" t="e">
        <f t="shared" si="50"/>
        <v>#DIV/0!</v>
      </c>
      <c r="Y105" s="403" t="e">
        <f t="shared" si="51"/>
        <v>#DIV/0!</v>
      </c>
      <c r="Z105" s="403" t="e">
        <f t="shared" si="52"/>
        <v>#DIV/0!</v>
      </c>
    </row>
    <row r="106" spans="2:26" x14ac:dyDescent="0.25">
      <c r="B106" s="402" t="e">
        <f>IRR(F106:Z106,'5'!$I$26/100)</f>
        <v>#VALUE!</v>
      </c>
      <c r="C106" s="484">
        <f t="shared" si="32"/>
        <v>0</v>
      </c>
      <c r="D106" s="402">
        <v>0.85</v>
      </c>
      <c r="E106" s="353">
        <f t="shared" si="31"/>
        <v>0</v>
      </c>
      <c r="F106" s="353">
        <f t="shared" si="30"/>
        <v>0</v>
      </c>
      <c r="G106" s="403" t="e">
        <f t="shared" si="33"/>
        <v>#DIV/0!</v>
      </c>
      <c r="H106" s="403" t="e">
        <f t="shared" si="34"/>
        <v>#DIV/0!</v>
      </c>
      <c r="I106" s="403" t="e">
        <f t="shared" si="35"/>
        <v>#DIV/0!</v>
      </c>
      <c r="J106" s="403" t="e">
        <f t="shared" si="36"/>
        <v>#DIV/0!</v>
      </c>
      <c r="K106" s="403" t="e">
        <f t="shared" si="37"/>
        <v>#DIV/0!</v>
      </c>
      <c r="L106" s="403" t="e">
        <f t="shared" si="38"/>
        <v>#DIV/0!</v>
      </c>
      <c r="M106" s="403" t="e">
        <f t="shared" si="39"/>
        <v>#DIV/0!</v>
      </c>
      <c r="N106" s="403" t="e">
        <f t="shared" si="40"/>
        <v>#DIV/0!</v>
      </c>
      <c r="O106" s="403" t="e">
        <f t="shared" si="41"/>
        <v>#DIV/0!</v>
      </c>
      <c r="P106" s="403" t="e">
        <f t="shared" si="42"/>
        <v>#DIV/0!</v>
      </c>
      <c r="Q106" s="403" t="e">
        <f t="shared" si="43"/>
        <v>#DIV/0!</v>
      </c>
      <c r="R106" s="403" t="e">
        <f t="shared" si="44"/>
        <v>#DIV/0!</v>
      </c>
      <c r="S106" s="403" t="e">
        <f t="shared" si="45"/>
        <v>#DIV/0!</v>
      </c>
      <c r="T106" s="403" t="e">
        <f t="shared" si="46"/>
        <v>#DIV/0!</v>
      </c>
      <c r="U106" s="403" t="e">
        <f t="shared" si="47"/>
        <v>#DIV/0!</v>
      </c>
      <c r="V106" s="403" t="e">
        <f t="shared" si="48"/>
        <v>#DIV/0!</v>
      </c>
      <c r="W106" s="403" t="e">
        <f t="shared" si="49"/>
        <v>#DIV/0!</v>
      </c>
      <c r="X106" s="403" t="e">
        <f t="shared" si="50"/>
        <v>#DIV/0!</v>
      </c>
      <c r="Y106" s="403" t="e">
        <f t="shared" si="51"/>
        <v>#DIV/0!</v>
      </c>
      <c r="Z106" s="403" t="e">
        <f t="shared" si="52"/>
        <v>#DIV/0!</v>
      </c>
    </row>
    <row r="107" spans="2:26" x14ac:dyDescent="0.25">
      <c r="B107" s="402" t="e">
        <f>IRR(F107:Z107,'5'!$I$26/100)</f>
        <v>#VALUE!</v>
      </c>
      <c r="C107" s="484">
        <f t="shared" si="32"/>
        <v>0</v>
      </c>
      <c r="D107" s="402">
        <v>0.86</v>
      </c>
      <c r="E107" s="353">
        <f t="shared" si="31"/>
        <v>0</v>
      </c>
      <c r="F107" s="353">
        <f t="shared" si="30"/>
        <v>0</v>
      </c>
      <c r="G107" s="403" t="e">
        <f t="shared" si="33"/>
        <v>#DIV/0!</v>
      </c>
      <c r="H107" s="403" t="e">
        <f t="shared" si="34"/>
        <v>#DIV/0!</v>
      </c>
      <c r="I107" s="403" t="e">
        <f t="shared" si="35"/>
        <v>#DIV/0!</v>
      </c>
      <c r="J107" s="403" t="e">
        <f t="shared" si="36"/>
        <v>#DIV/0!</v>
      </c>
      <c r="K107" s="403" t="e">
        <f t="shared" si="37"/>
        <v>#DIV/0!</v>
      </c>
      <c r="L107" s="403" t="e">
        <f t="shared" si="38"/>
        <v>#DIV/0!</v>
      </c>
      <c r="M107" s="403" t="e">
        <f t="shared" si="39"/>
        <v>#DIV/0!</v>
      </c>
      <c r="N107" s="403" t="e">
        <f t="shared" si="40"/>
        <v>#DIV/0!</v>
      </c>
      <c r="O107" s="403" t="e">
        <f t="shared" si="41"/>
        <v>#DIV/0!</v>
      </c>
      <c r="P107" s="403" t="e">
        <f t="shared" si="42"/>
        <v>#DIV/0!</v>
      </c>
      <c r="Q107" s="403" t="e">
        <f t="shared" si="43"/>
        <v>#DIV/0!</v>
      </c>
      <c r="R107" s="403" t="e">
        <f t="shared" si="44"/>
        <v>#DIV/0!</v>
      </c>
      <c r="S107" s="403" t="e">
        <f t="shared" si="45"/>
        <v>#DIV/0!</v>
      </c>
      <c r="T107" s="403" t="e">
        <f t="shared" si="46"/>
        <v>#DIV/0!</v>
      </c>
      <c r="U107" s="403" t="e">
        <f t="shared" si="47"/>
        <v>#DIV/0!</v>
      </c>
      <c r="V107" s="403" t="e">
        <f t="shared" si="48"/>
        <v>#DIV/0!</v>
      </c>
      <c r="W107" s="403" t="e">
        <f t="shared" si="49"/>
        <v>#DIV/0!</v>
      </c>
      <c r="X107" s="403" t="e">
        <f t="shared" si="50"/>
        <v>#DIV/0!</v>
      </c>
      <c r="Y107" s="403" t="e">
        <f t="shared" si="51"/>
        <v>#DIV/0!</v>
      </c>
      <c r="Z107" s="403" t="e">
        <f t="shared" si="52"/>
        <v>#DIV/0!</v>
      </c>
    </row>
    <row r="108" spans="2:26" x14ac:dyDescent="0.25">
      <c r="B108" s="402" t="e">
        <f>IRR(F108:Z108,'5'!$I$26/100)</f>
        <v>#VALUE!</v>
      </c>
      <c r="C108" s="484">
        <f t="shared" si="32"/>
        <v>0</v>
      </c>
      <c r="D108" s="402">
        <v>0.87</v>
      </c>
      <c r="E108" s="353">
        <f t="shared" si="31"/>
        <v>0</v>
      </c>
      <c r="F108" s="353">
        <f t="shared" si="30"/>
        <v>0</v>
      </c>
      <c r="G108" s="403" t="e">
        <f t="shared" si="33"/>
        <v>#DIV/0!</v>
      </c>
      <c r="H108" s="403" t="e">
        <f t="shared" si="34"/>
        <v>#DIV/0!</v>
      </c>
      <c r="I108" s="403" t="e">
        <f t="shared" si="35"/>
        <v>#DIV/0!</v>
      </c>
      <c r="J108" s="403" t="e">
        <f t="shared" si="36"/>
        <v>#DIV/0!</v>
      </c>
      <c r="K108" s="403" t="e">
        <f t="shared" si="37"/>
        <v>#DIV/0!</v>
      </c>
      <c r="L108" s="403" t="e">
        <f t="shared" si="38"/>
        <v>#DIV/0!</v>
      </c>
      <c r="M108" s="403" t="e">
        <f t="shared" si="39"/>
        <v>#DIV/0!</v>
      </c>
      <c r="N108" s="403" t="e">
        <f t="shared" si="40"/>
        <v>#DIV/0!</v>
      </c>
      <c r="O108" s="403" t="e">
        <f t="shared" si="41"/>
        <v>#DIV/0!</v>
      </c>
      <c r="P108" s="403" t="e">
        <f t="shared" si="42"/>
        <v>#DIV/0!</v>
      </c>
      <c r="Q108" s="403" t="e">
        <f t="shared" si="43"/>
        <v>#DIV/0!</v>
      </c>
      <c r="R108" s="403" t="e">
        <f t="shared" si="44"/>
        <v>#DIV/0!</v>
      </c>
      <c r="S108" s="403" t="e">
        <f t="shared" si="45"/>
        <v>#DIV/0!</v>
      </c>
      <c r="T108" s="403" t="e">
        <f t="shared" si="46"/>
        <v>#DIV/0!</v>
      </c>
      <c r="U108" s="403" t="e">
        <f t="shared" si="47"/>
        <v>#DIV/0!</v>
      </c>
      <c r="V108" s="403" t="e">
        <f t="shared" si="48"/>
        <v>#DIV/0!</v>
      </c>
      <c r="W108" s="403" t="e">
        <f t="shared" si="49"/>
        <v>#DIV/0!</v>
      </c>
      <c r="X108" s="403" t="e">
        <f t="shared" si="50"/>
        <v>#DIV/0!</v>
      </c>
      <c r="Y108" s="403" t="e">
        <f t="shared" si="51"/>
        <v>#DIV/0!</v>
      </c>
      <c r="Z108" s="403" t="e">
        <f t="shared" si="52"/>
        <v>#DIV/0!</v>
      </c>
    </row>
    <row r="109" spans="2:26" x14ac:dyDescent="0.25">
      <c r="B109" s="402" t="e">
        <f>IRR(F109:Z109,'5'!$I$26/100)</f>
        <v>#VALUE!</v>
      </c>
      <c r="C109" s="484">
        <f t="shared" si="32"/>
        <v>0</v>
      </c>
      <c r="D109" s="402">
        <v>0.88</v>
      </c>
      <c r="E109" s="353">
        <f t="shared" si="31"/>
        <v>0</v>
      </c>
      <c r="F109" s="353">
        <f t="shared" si="30"/>
        <v>0</v>
      </c>
      <c r="G109" s="403" t="e">
        <f t="shared" si="33"/>
        <v>#DIV/0!</v>
      </c>
      <c r="H109" s="403" t="e">
        <f t="shared" si="34"/>
        <v>#DIV/0!</v>
      </c>
      <c r="I109" s="403" t="e">
        <f t="shared" si="35"/>
        <v>#DIV/0!</v>
      </c>
      <c r="J109" s="403" t="e">
        <f t="shared" si="36"/>
        <v>#DIV/0!</v>
      </c>
      <c r="K109" s="403" t="e">
        <f t="shared" si="37"/>
        <v>#DIV/0!</v>
      </c>
      <c r="L109" s="403" t="e">
        <f t="shared" si="38"/>
        <v>#DIV/0!</v>
      </c>
      <c r="M109" s="403" t="e">
        <f t="shared" si="39"/>
        <v>#DIV/0!</v>
      </c>
      <c r="N109" s="403" t="e">
        <f t="shared" si="40"/>
        <v>#DIV/0!</v>
      </c>
      <c r="O109" s="403" t="e">
        <f t="shared" si="41"/>
        <v>#DIV/0!</v>
      </c>
      <c r="P109" s="403" t="e">
        <f t="shared" si="42"/>
        <v>#DIV/0!</v>
      </c>
      <c r="Q109" s="403" t="e">
        <f t="shared" si="43"/>
        <v>#DIV/0!</v>
      </c>
      <c r="R109" s="403" t="e">
        <f t="shared" si="44"/>
        <v>#DIV/0!</v>
      </c>
      <c r="S109" s="403" t="e">
        <f t="shared" si="45"/>
        <v>#DIV/0!</v>
      </c>
      <c r="T109" s="403" t="e">
        <f t="shared" si="46"/>
        <v>#DIV/0!</v>
      </c>
      <c r="U109" s="403" t="e">
        <f t="shared" si="47"/>
        <v>#DIV/0!</v>
      </c>
      <c r="V109" s="403" t="e">
        <f t="shared" si="48"/>
        <v>#DIV/0!</v>
      </c>
      <c r="W109" s="403" t="e">
        <f t="shared" si="49"/>
        <v>#DIV/0!</v>
      </c>
      <c r="X109" s="403" t="e">
        <f t="shared" si="50"/>
        <v>#DIV/0!</v>
      </c>
      <c r="Y109" s="403" t="e">
        <f t="shared" si="51"/>
        <v>#DIV/0!</v>
      </c>
      <c r="Z109" s="403" t="e">
        <f t="shared" si="52"/>
        <v>#DIV/0!</v>
      </c>
    </row>
    <row r="110" spans="2:26" x14ac:dyDescent="0.25">
      <c r="B110" s="402" t="e">
        <f>IRR(F110:Z110,'5'!$I$26/100)</f>
        <v>#VALUE!</v>
      </c>
      <c r="C110" s="484">
        <f t="shared" si="32"/>
        <v>0</v>
      </c>
      <c r="D110" s="402">
        <v>0.89</v>
      </c>
      <c r="E110" s="353">
        <f t="shared" si="31"/>
        <v>0</v>
      </c>
      <c r="F110" s="353">
        <f t="shared" si="30"/>
        <v>0</v>
      </c>
      <c r="G110" s="403" t="e">
        <f t="shared" si="33"/>
        <v>#DIV/0!</v>
      </c>
      <c r="H110" s="403" t="e">
        <f t="shared" si="34"/>
        <v>#DIV/0!</v>
      </c>
      <c r="I110" s="403" t="e">
        <f t="shared" si="35"/>
        <v>#DIV/0!</v>
      </c>
      <c r="J110" s="403" t="e">
        <f t="shared" si="36"/>
        <v>#DIV/0!</v>
      </c>
      <c r="K110" s="403" t="e">
        <f t="shared" si="37"/>
        <v>#DIV/0!</v>
      </c>
      <c r="L110" s="403" t="e">
        <f t="shared" si="38"/>
        <v>#DIV/0!</v>
      </c>
      <c r="M110" s="403" t="e">
        <f t="shared" si="39"/>
        <v>#DIV/0!</v>
      </c>
      <c r="N110" s="403" t="e">
        <f t="shared" si="40"/>
        <v>#DIV/0!</v>
      </c>
      <c r="O110" s="403" t="e">
        <f t="shared" si="41"/>
        <v>#DIV/0!</v>
      </c>
      <c r="P110" s="403" t="e">
        <f t="shared" si="42"/>
        <v>#DIV/0!</v>
      </c>
      <c r="Q110" s="403" t="e">
        <f t="shared" si="43"/>
        <v>#DIV/0!</v>
      </c>
      <c r="R110" s="403" t="e">
        <f t="shared" si="44"/>
        <v>#DIV/0!</v>
      </c>
      <c r="S110" s="403" t="e">
        <f t="shared" si="45"/>
        <v>#DIV/0!</v>
      </c>
      <c r="T110" s="403" t="e">
        <f t="shared" si="46"/>
        <v>#DIV/0!</v>
      </c>
      <c r="U110" s="403" t="e">
        <f t="shared" si="47"/>
        <v>#DIV/0!</v>
      </c>
      <c r="V110" s="403" t="e">
        <f t="shared" si="48"/>
        <v>#DIV/0!</v>
      </c>
      <c r="W110" s="403" t="e">
        <f t="shared" si="49"/>
        <v>#DIV/0!</v>
      </c>
      <c r="X110" s="403" t="e">
        <f t="shared" si="50"/>
        <v>#DIV/0!</v>
      </c>
      <c r="Y110" s="403" t="e">
        <f t="shared" si="51"/>
        <v>#DIV/0!</v>
      </c>
      <c r="Z110" s="403" t="e">
        <f t="shared" si="52"/>
        <v>#DIV/0!</v>
      </c>
    </row>
    <row r="111" spans="2:26" x14ac:dyDescent="0.25">
      <c r="B111" s="402" t="e">
        <f>IRR(F111:Z111,'5'!$I$26/100)</f>
        <v>#VALUE!</v>
      </c>
      <c r="C111" s="484">
        <f t="shared" si="32"/>
        <v>0</v>
      </c>
      <c r="D111" s="402">
        <v>0.9</v>
      </c>
      <c r="E111" s="353">
        <f t="shared" si="31"/>
        <v>0</v>
      </c>
      <c r="F111" s="353">
        <f t="shared" si="30"/>
        <v>0</v>
      </c>
      <c r="G111" s="403" t="e">
        <f t="shared" si="33"/>
        <v>#DIV/0!</v>
      </c>
      <c r="H111" s="403" t="e">
        <f t="shared" si="34"/>
        <v>#DIV/0!</v>
      </c>
      <c r="I111" s="403" t="e">
        <f t="shared" si="35"/>
        <v>#DIV/0!</v>
      </c>
      <c r="J111" s="403" t="e">
        <f t="shared" si="36"/>
        <v>#DIV/0!</v>
      </c>
      <c r="K111" s="403" t="e">
        <f t="shared" si="37"/>
        <v>#DIV/0!</v>
      </c>
      <c r="L111" s="403" t="e">
        <f t="shared" si="38"/>
        <v>#DIV/0!</v>
      </c>
      <c r="M111" s="403" t="e">
        <f t="shared" si="39"/>
        <v>#DIV/0!</v>
      </c>
      <c r="N111" s="403" t="e">
        <f t="shared" si="40"/>
        <v>#DIV/0!</v>
      </c>
      <c r="O111" s="403" t="e">
        <f t="shared" si="41"/>
        <v>#DIV/0!</v>
      </c>
      <c r="P111" s="403" t="e">
        <f t="shared" si="42"/>
        <v>#DIV/0!</v>
      </c>
      <c r="Q111" s="403" t="e">
        <f t="shared" si="43"/>
        <v>#DIV/0!</v>
      </c>
      <c r="R111" s="403" t="e">
        <f t="shared" si="44"/>
        <v>#DIV/0!</v>
      </c>
      <c r="S111" s="403" t="e">
        <f t="shared" si="45"/>
        <v>#DIV/0!</v>
      </c>
      <c r="T111" s="403" t="e">
        <f t="shared" si="46"/>
        <v>#DIV/0!</v>
      </c>
      <c r="U111" s="403" t="e">
        <f t="shared" si="47"/>
        <v>#DIV/0!</v>
      </c>
      <c r="V111" s="403" t="e">
        <f t="shared" si="48"/>
        <v>#DIV/0!</v>
      </c>
      <c r="W111" s="403" t="e">
        <f t="shared" si="49"/>
        <v>#DIV/0!</v>
      </c>
      <c r="X111" s="403" t="e">
        <f t="shared" si="50"/>
        <v>#DIV/0!</v>
      </c>
      <c r="Y111" s="403" t="e">
        <f t="shared" si="51"/>
        <v>#DIV/0!</v>
      </c>
      <c r="Z111" s="403" t="e">
        <f t="shared" si="52"/>
        <v>#DIV/0!</v>
      </c>
    </row>
    <row r="112" spans="2:26" x14ac:dyDescent="0.25">
      <c r="B112" s="402" t="e">
        <f>IRR(F112:Z112,'5'!$I$26/100)</f>
        <v>#VALUE!</v>
      </c>
      <c r="C112" s="484">
        <f t="shared" si="32"/>
        <v>0</v>
      </c>
      <c r="D112" s="402">
        <v>0.91</v>
      </c>
      <c r="E112" s="353">
        <f t="shared" si="31"/>
        <v>0</v>
      </c>
      <c r="F112" s="353">
        <f t="shared" si="30"/>
        <v>0</v>
      </c>
      <c r="G112" s="403" t="e">
        <f t="shared" si="33"/>
        <v>#DIV/0!</v>
      </c>
      <c r="H112" s="403" t="e">
        <f t="shared" si="34"/>
        <v>#DIV/0!</v>
      </c>
      <c r="I112" s="403" t="e">
        <f t="shared" si="35"/>
        <v>#DIV/0!</v>
      </c>
      <c r="J112" s="403" t="e">
        <f t="shared" si="36"/>
        <v>#DIV/0!</v>
      </c>
      <c r="K112" s="403" t="e">
        <f t="shared" si="37"/>
        <v>#DIV/0!</v>
      </c>
      <c r="L112" s="403" t="e">
        <f t="shared" si="38"/>
        <v>#DIV/0!</v>
      </c>
      <c r="M112" s="403" t="e">
        <f t="shared" si="39"/>
        <v>#DIV/0!</v>
      </c>
      <c r="N112" s="403" t="e">
        <f t="shared" si="40"/>
        <v>#DIV/0!</v>
      </c>
      <c r="O112" s="403" t="e">
        <f t="shared" si="41"/>
        <v>#DIV/0!</v>
      </c>
      <c r="P112" s="403" t="e">
        <f t="shared" si="42"/>
        <v>#DIV/0!</v>
      </c>
      <c r="Q112" s="403" t="e">
        <f t="shared" si="43"/>
        <v>#DIV/0!</v>
      </c>
      <c r="R112" s="403" t="e">
        <f t="shared" si="44"/>
        <v>#DIV/0!</v>
      </c>
      <c r="S112" s="403" t="e">
        <f t="shared" si="45"/>
        <v>#DIV/0!</v>
      </c>
      <c r="T112" s="403" t="e">
        <f t="shared" si="46"/>
        <v>#DIV/0!</v>
      </c>
      <c r="U112" s="403" t="e">
        <f t="shared" si="47"/>
        <v>#DIV/0!</v>
      </c>
      <c r="V112" s="403" t="e">
        <f t="shared" si="48"/>
        <v>#DIV/0!</v>
      </c>
      <c r="W112" s="403" t="e">
        <f t="shared" si="49"/>
        <v>#DIV/0!</v>
      </c>
      <c r="X112" s="403" t="e">
        <f t="shared" si="50"/>
        <v>#DIV/0!</v>
      </c>
      <c r="Y112" s="403" t="e">
        <f t="shared" si="51"/>
        <v>#DIV/0!</v>
      </c>
      <c r="Z112" s="403" t="e">
        <f t="shared" si="52"/>
        <v>#DIV/0!</v>
      </c>
    </row>
    <row r="113" spans="2:26" x14ac:dyDescent="0.25">
      <c r="B113" s="402" t="e">
        <f>IRR(F113:Z113,'5'!$I$26/100)</f>
        <v>#VALUE!</v>
      </c>
      <c r="C113" s="484">
        <f t="shared" si="32"/>
        <v>0</v>
      </c>
      <c r="D113" s="402">
        <v>0.92</v>
      </c>
      <c r="E113" s="353">
        <f t="shared" si="31"/>
        <v>0</v>
      </c>
      <c r="F113" s="353">
        <f t="shared" si="30"/>
        <v>0</v>
      </c>
      <c r="G113" s="403" t="e">
        <f t="shared" si="33"/>
        <v>#DIV/0!</v>
      </c>
      <c r="H113" s="403" t="e">
        <f t="shared" si="34"/>
        <v>#DIV/0!</v>
      </c>
      <c r="I113" s="403" t="e">
        <f t="shared" si="35"/>
        <v>#DIV/0!</v>
      </c>
      <c r="J113" s="403" t="e">
        <f t="shared" si="36"/>
        <v>#DIV/0!</v>
      </c>
      <c r="K113" s="403" t="e">
        <f t="shared" si="37"/>
        <v>#DIV/0!</v>
      </c>
      <c r="L113" s="403" t="e">
        <f t="shared" si="38"/>
        <v>#DIV/0!</v>
      </c>
      <c r="M113" s="403" t="e">
        <f t="shared" si="39"/>
        <v>#DIV/0!</v>
      </c>
      <c r="N113" s="403" t="e">
        <f t="shared" si="40"/>
        <v>#DIV/0!</v>
      </c>
      <c r="O113" s="403" t="e">
        <f t="shared" si="41"/>
        <v>#DIV/0!</v>
      </c>
      <c r="P113" s="403" t="e">
        <f t="shared" si="42"/>
        <v>#DIV/0!</v>
      </c>
      <c r="Q113" s="403" t="e">
        <f t="shared" si="43"/>
        <v>#DIV/0!</v>
      </c>
      <c r="R113" s="403" t="e">
        <f t="shared" si="44"/>
        <v>#DIV/0!</v>
      </c>
      <c r="S113" s="403" t="e">
        <f t="shared" si="45"/>
        <v>#DIV/0!</v>
      </c>
      <c r="T113" s="403" t="e">
        <f t="shared" si="46"/>
        <v>#DIV/0!</v>
      </c>
      <c r="U113" s="403" t="e">
        <f t="shared" si="47"/>
        <v>#DIV/0!</v>
      </c>
      <c r="V113" s="403" t="e">
        <f t="shared" si="48"/>
        <v>#DIV/0!</v>
      </c>
      <c r="W113" s="403" t="e">
        <f t="shared" si="49"/>
        <v>#DIV/0!</v>
      </c>
      <c r="X113" s="403" t="e">
        <f t="shared" si="50"/>
        <v>#DIV/0!</v>
      </c>
      <c r="Y113" s="403" t="e">
        <f t="shared" si="51"/>
        <v>#DIV/0!</v>
      </c>
      <c r="Z113" s="403" t="e">
        <f t="shared" si="52"/>
        <v>#DIV/0!</v>
      </c>
    </row>
    <row r="114" spans="2:26" x14ac:dyDescent="0.25">
      <c r="B114" s="402" t="e">
        <f>IRR(F114:Z114,'5'!$I$26/100)</f>
        <v>#VALUE!</v>
      </c>
      <c r="C114" s="484">
        <f t="shared" si="32"/>
        <v>0</v>
      </c>
      <c r="D114" s="402">
        <v>0.93</v>
      </c>
      <c r="E114" s="353">
        <f t="shared" si="31"/>
        <v>0</v>
      </c>
      <c r="F114" s="353">
        <f t="shared" si="30"/>
        <v>0</v>
      </c>
      <c r="G114" s="403" t="e">
        <f t="shared" si="33"/>
        <v>#DIV/0!</v>
      </c>
      <c r="H114" s="403" t="e">
        <f t="shared" si="34"/>
        <v>#DIV/0!</v>
      </c>
      <c r="I114" s="403" t="e">
        <f t="shared" si="35"/>
        <v>#DIV/0!</v>
      </c>
      <c r="J114" s="403" t="e">
        <f t="shared" si="36"/>
        <v>#DIV/0!</v>
      </c>
      <c r="K114" s="403" t="e">
        <f t="shared" si="37"/>
        <v>#DIV/0!</v>
      </c>
      <c r="L114" s="403" t="e">
        <f t="shared" si="38"/>
        <v>#DIV/0!</v>
      </c>
      <c r="M114" s="403" t="e">
        <f t="shared" si="39"/>
        <v>#DIV/0!</v>
      </c>
      <c r="N114" s="403" t="e">
        <f t="shared" si="40"/>
        <v>#DIV/0!</v>
      </c>
      <c r="O114" s="403" t="e">
        <f t="shared" si="41"/>
        <v>#DIV/0!</v>
      </c>
      <c r="P114" s="403" t="e">
        <f t="shared" si="42"/>
        <v>#DIV/0!</v>
      </c>
      <c r="Q114" s="403" t="e">
        <f t="shared" si="43"/>
        <v>#DIV/0!</v>
      </c>
      <c r="R114" s="403" t="e">
        <f t="shared" si="44"/>
        <v>#DIV/0!</v>
      </c>
      <c r="S114" s="403" t="e">
        <f t="shared" si="45"/>
        <v>#DIV/0!</v>
      </c>
      <c r="T114" s="403" t="e">
        <f t="shared" si="46"/>
        <v>#DIV/0!</v>
      </c>
      <c r="U114" s="403" t="e">
        <f t="shared" si="47"/>
        <v>#DIV/0!</v>
      </c>
      <c r="V114" s="403" t="e">
        <f t="shared" si="48"/>
        <v>#DIV/0!</v>
      </c>
      <c r="W114" s="403" t="e">
        <f t="shared" si="49"/>
        <v>#DIV/0!</v>
      </c>
      <c r="X114" s="403" t="e">
        <f t="shared" si="50"/>
        <v>#DIV/0!</v>
      </c>
      <c r="Y114" s="403" t="e">
        <f t="shared" si="51"/>
        <v>#DIV/0!</v>
      </c>
      <c r="Z114" s="403" t="e">
        <f t="shared" si="52"/>
        <v>#DIV/0!</v>
      </c>
    </row>
    <row r="115" spans="2:26" x14ac:dyDescent="0.25">
      <c r="B115" s="402" t="e">
        <f>IRR(F115:Z115,'5'!$I$26/100)</f>
        <v>#VALUE!</v>
      </c>
      <c r="C115" s="484">
        <f t="shared" si="32"/>
        <v>0</v>
      </c>
      <c r="D115" s="402">
        <v>0.94</v>
      </c>
      <c r="E115" s="353">
        <f t="shared" si="31"/>
        <v>0</v>
      </c>
      <c r="F115" s="353">
        <f t="shared" si="30"/>
        <v>0</v>
      </c>
      <c r="G115" s="403" t="e">
        <f t="shared" si="33"/>
        <v>#DIV/0!</v>
      </c>
      <c r="H115" s="403" t="e">
        <f t="shared" si="34"/>
        <v>#DIV/0!</v>
      </c>
      <c r="I115" s="403" t="e">
        <f t="shared" si="35"/>
        <v>#DIV/0!</v>
      </c>
      <c r="J115" s="403" t="e">
        <f t="shared" si="36"/>
        <v>#DIV/0!</v>
      </c>
      <c r="K115" s="403" t="e">
        <f t="shared" si="37"/>
        <v>#DIV/0!</v>
      </c>
      <c r="L115" s="403" t="e">
        <f t="shared" si="38"/>
        <v>#DIV/0!</v>
      </c>
      <c r="M115" s="403" t="e">
        <f t="shared" si="39"/>
        <v>#DIV/0!</v>
      </c>
      <c r="N115" s="403" t="e">
        <f t="shared" si="40"/>
        <v>#DIV/0!</v>
      </c>
      <c r="O115" s="403" t="e">
        <f t="shared" si="41"/>
        <v>#DIV/0!</v>
      </c>
      <c r="P115" s="403" t="e">
        <f t="shared" si="42"/>
        <v>#DIV/0!</v>
      </c>
      <c r="Q115" s="403" t="e">
        <f t="shared" si="43"/>
        <v>#DIV/0!</v>
      </c>
      <c r="R115" s="403" t="e">
        <f t="shared" si="44"/>
        <v>#DIV/0!</v>
      </c>
      <c r="S115" s="403" t="e">
        <f t="shared" si="45"/>
        <v>#DIV/0!</v>
      </c>
      <c r="T115" s="403" t="e">
        <f t="shared" si="46"/>
        <v>#DIV/0!</v>
      </c>
      <c r="U115" s="403" t="e">
        <f t="shared" si="47"/>
        <v>#DIV/0!</v>
      </c>
      <c r="V115" s="403" t="e">
        <f t="shared" si="48"/>
        <v>#DIV/0!</v>
      </c>
      <c r="W115" s="403" t="e">
        <f t="shared" si="49"/>
        <v>#DIV/0!</v>
      </c>
      <c r="X115" s="403" t="e">
        <f t="shared" si="50"/>
        <v>#DIV/0!</v>
      </c>
      <c r="Y115" s="403" t="e">
        <f t="shared" si="51"/>
        <v>#DIV/0!</v>
      </c>
      <c r="Z115" s="403" t="e">
        <f t="shared" si="52"/>
        <v>#DIV/0!</v>
      </c>
    </row>
    <row r="116" spans="2:26" x14ac:dyDescent="0.25">
      <c r="B116" s="402" t="e">
        <f>IRR(F116:Z116,'5'!$I$26/100)</f>
        <v>#VALUE!</v>
      </c>
      <c r="C116" s="484">
        <f t="shared" si="32"/>
        <v>0</v>
      </c>
      <c r="D116" s="402">
        <v>0.95</v>
      </c>
      <c r="E116" s="353">
        <f t="shared" si="31"/>
        <v>0</v>
      </c>
      <c r="F116" s="353">
        <f t="shared" si="30"/>
        <v>0</v>
      </c>
      <c r="G116" s="403" t="e">
        <f t="shared" si="33"/>
        <v>#DIV/0!</v>
      </c>
      <c r="H116" s="403" t="e">
        <f t="shared" si="34"/>
        <v>#DIV/0!</v>
      </c>
      <c r="I116" s="403" t="e">
        <f t="shared" si="35"/>
        <v>#DIV/0!</v>
      </c>
      <c r="J116" s="403" t="e">
        <f t="shared" si="36"/>
        <v>#DIV/0!</v>
      </c>
      <c r="K116" s="403" t="e">
        <f t="shared" si="37"/>
        <v>#DIV/0!</v>
      </c>
      <c r="L116" s="403" t="e">
        <f t="shared" si="38"/>
        <v>#DIV/0!</v>
      </c>
      <c r="M116" s="403" t="e">
        <f t="shared" si="39"/>
        <v>#DIV/0!</v>
      </c>
      <c r="N116" s="403" t="e">
        <f t="shared" si="40"/>
        <v>#DIV/0!</v>
      </c>
      <c r="O116" s="403" t="e">
        <f t="shared" si="41"/>
        <v>#DIV/0!</v>
      </c>
      <c r="P116" s="403" t="e">
        <f t="shared" si="42"/>
        <v>#DIV/0!</v>
      </c>
      <c r="Q116" s="403" t="e">
        <f t="shared" si="43"/>
        <v>#DIV/0!</v>
      </c>
      <c r="R116" s="403" t="e">
        <f t="shared" si="44"/>
        <v>#DIV/0!</v>
      </c>
      <c r="S116" s="403" t="e">
        <f t="shared" si="45"/>
        <v>#DIV/0!</v>
      </c>
      <c r="T116" s="403" t="e">
        <f t="shared" si="46"/>
        <v>#DIV/0!</v>
      </c>
      <c r="U116" s="403" t="e">
        <f t="shared" si="47"/>
        <v>#DIV/0!</v>
      </c>
      <c r="V116" s="403" t="e">
        <f t="shared" si="48"/>
        <v>#DIV/0!</v>
      </c>
      <c r="W116" s="403" t="e">
        <f t="shared" si="49"/>
        <v>#DIV/0!</v>
      </c>
      <c r="X116" s="403" t="e">
        <f t="shared" si="50"/>
        <v>#DIV/0!</v>
      </c>
      <c r="Y116" s="403" t="e">
        <f t="shared" si="51"/>
        <v>#DIV/0!</v>
      </c>
      <c r="Z116" s="403" t="e">
        <f t="shared" si="52"/>
        <v>#DIV/0!</v>
      </c>
    </row>
    <row r="117" spans="2:26" x14ac:dyDescent="0.25">
      <c r="B117" s="402" t="e">
        <f>IRR(F117:Z117,'5'!$I$26/100)</f>
        <v>#VALUE!</v>
      </c>
      <c r="C117" s="484">
        <f t="shared" si="32"/>
        <v>0</v>
      </c>
      <c r="D117" s="402">
        <v>0.96</v>
      </c>
      <c r="E117" s="353">
        <f t="shared" si="31"/>
        <v>0</v>
      </c>
      <c r="F117" s="353">
        <f t="shared" ref="F117:F121" si="53">$C$21+E117</f>
        <v>0</v>
      </c>
      <c r="G117" s="403" t="e">
        <f t="shared" si="33"/>
        <v>#DIV/0!</v>
      </c>
      <c r="H117" s="403" t="e">
        <f t="shared" si="34"/>
        <v>#DIV/0!</v>
      </c>
      <c r="I117" s="403" t="e">
        <f t="shared" si="35"/>
        <v>#DIV/0!</v>
      </c>
      <c r="J117" s="403" t="e">
        <f t="shared" si="36"/>
        <v>#DIV/0!</v>
      </c>
      <c r="K117" s="403" t="e">
        <f t="shared" si="37"/>
        <v>#DIV/0!</v>
      </c>
      <c r="L117" s="403" t="e">
        <f t="shared" si="38"/>
        <v>#DIV/0!</v>
      </c>
      <c r="M117" s="403" t="e">
        <f t="shared" si="39"/>
        <v>#DIV/0!</v>
      </c>
      <c r="N117" s="403" t="e">
        <f t="shared" si="40"/>
        <v>#DIV/0!</v>
      </c>
      <c r="O117" s="403" t="e">
        <f t="shared" si="41"/>
        <v>#DIV/0!</v>
      </c>
      <c r="P117" s="403" t="e">
        <f t="shared" si="42"/>
        <v>#DIV/0!</v>
      </c>
      <c r="Q117" s="403" t="e">
        <f t="shared" si="43"/>
        <v>#DIV/0!</v>
      </c>
      <c r="R117" s="403" t="e">
        <f t="shared" si="44"/>
        <v>#DIV/0!</v>
      </c>
      <c r="S117" s="403" t="e">
        <f t="shared" si="45"/>
        <v>#DIV/0!</v>
      </c>
      <c r="T117" s="403" t="e">
        <f t="shared" si="46"/>
        <v>#DIV/0!</v>
      </c>
      <c r="U117" s="403" t="e">
        <f t="shared" si="47"/>
        <v>#DIV/0!</v>
      </c>
      <c r="V117" s="403" t="e">
        <f t="shared" si="48"/>
        <v>#DIV/0!</v>
      </c>
      <c r="W117" s="403" t="e">
        <f t="shared" si="49"/>
        <v>#DIV/0!</v>
      </c>
      <c r="X117" s="403" t="e">
        <f t="shared" si="50"/>
        <v>#DIV/0!</v>
      </c>
      <c r="Y117" s="403" t="e">
        <f t="shared" si="51"/>
        <v>#DIV/0!</v>
      </c>
      <c r="Z117" s="403" t="e">
        <f t="shared" si="52"/>
        <v>#DIV/0!</v>
      </c>
    </row>
    <row r="118" spans="2:26" x14ac:dyDescent="0.25">
      <c r="B118" s="402" t="e">
        <f>IRR(F118:Z118,'5'!$I$26/100)</f>
        <v>#VALUE!</v>
      </c>
      <c r="C118" s="484">
        <f t="shared" si="32"/>
        <v>0</v>
      </c>
      <c r="D118" s="402">
        <v>0.97</v>
      </c>
      <c r="E118" s="353">
        <f t="shared" ref="E118:E121" si="54">-$C$21*D118</f>
        <v>0</v>
      </c>
      <c r="F118" s="353">
        <f t="shared" si="53"/>
        <v>0</v>
      </c>
      <c r="G118" s="403" t="e">
        <f t="shared" si="33"/>
        <v>#DIV/0!</v>
      </c>
      <c r="H118" s="403" t="e">
        <f t="shared" si="34"/>
        <v>#DIV/0!</v>
      </c>
      <c r="I118" s="403" t="e">
        <f t="shared" si="35"/>
        <v>#DIV/0!</v>
      </c>
      <c r="J118" s="403" t="e">
        <f t="shared" si="36"/>
        <v>#DIV/0!</v>
      </c>
      <c r="K118" s="403" t="e">
        <f t="shared" si="37"/>
        <v>#DIV/0!</v>
      </c>
      <c r="L118" s="403" t="e">
        <f t="shared" si="38"/>
        <v>#DIV/0!</v>
      </c>
      <c r="M118" s="403" t="e">
        <f t="shared" si="39"/>
        <v>#DIV/0!</v>
      </c>
      <c r="N118" s="403" t="e">
        <f t="shared" si="40"/>
        <v>#DIV/0!</v>
      </c>
      <c r="O118" s="403" t="e">
        <f t="shared" si="41"/>
        <v>#DIV/0!</v>
      </c>
      <c r="P118" s="403" t="e">
        <f t="shared" si="42"/>
        <v>#DIV/0!</v>
      </c>
      <c r="Q118" s="403" t="e">
        <f t="shared" si="43"/>
        <v>#DIV/0!</v>
      </c>
      <c r="R118" s="403" t="e">
        <f t="shared" si="44"/>
        <v>#DIV/0!</v>
      </c>
      <c r="S118" s="403" t="e">
        <f t="shared" si="45"/>
        <v>#DIV/0!</v>
      </c>
      <c r="T118" s="403" t="e">
        <f t="shared" si="46"/>
        <v>#DIV/0!</v>
      </c>
      <c r="U118" s="403" t="e">
        <f t="shared" si="47"/>
        <v>#DIV/0!</v>
      </c>
      <c r="V118" s="403" t="e">
        <f t="shared" si="48"/>
        <v>#DIV/0!</v>
      </c>
      <c r="W118" s="403" t="e">
        <f t="shared" si="49"/>
        <v>#DIV/0!</v>
      </c>
      <c r="X118" s="403" t="e">
        <f t="shared" si="50"/>
        <v>#DIV/0!</v>
      </c>
      <c r="Y118" s="403" t="e">
        <f t="shared" si="51"/>
        <v>#DIV/0!</v>
      </c>
      <c r="Z118" s="403" t="e">
        <f t="shared" si="52"/>
        <v>#DIV/0!</v>
      </c>
    </row>
    <row r="119" spans="2:26" x14ac:dyDescent="0.25">
      <c r="B119" s="402" t="e">
        <f>IRR(F119:Z119,'5'!$I$26/100)</f>
        <v>#VALUE!</v>
      </c>
      <c r="C119" s="484">
        <f t="shared" si="32"/>
        <v>0</v>
      </c>
      <c r="D119" s="402">
        <v>0.98</v>
      </c>
      <c r="E119" s="353">
        <f t="shared" si="54"/>
        <v>0</v>
      </c>
      <c r="F119" s="353">
        <f t="shared" si="53"/>
        <v>0</v>
      </c>
      <c r="G119" s="403" t="e">
        <f t="shared" si="33"/>
        <v>#DIV/0!</v>
      </c>
      <c r="H119" s="403" t="e">
        <f t="shared" si="34"/>
        <v>#DIV/0!</v>
      </c>
      <c r="I119" s="403" t="e">
        <f t="shared" si="35"/>
        <v>#DIV/0!</v>
      </c>
      <c r="J119" s="403" t="e">
        <f t="shared" si="36"/>
        <v>#DIV/0!</v>
      </c>
      <c r="K119" s="403" t="e">
        <f t="shared" si="37"/>
        <v>#DIV/0!</v>
      </c>
      <c r="L119" s="403" t="e">
        <f t="shared" si="38"/>
        <v>#DIV/0!</v>
      </c>
      <c r="M119" s="403" t="e">
        <f t="shared" si="39"/>
        <v>#DIV/0!</v>
      </c>
      <c r="N119" s="403" t="e">
        <f t="shared" si="40"/>
        <v>#DIV/0!</v>
      </c>
      <c r="O119" s="403" t="e">
        <f t="shared" si="41"/>
        <v>#DIV/0!</v>
      </c>
      <c r="P119" s="403" t="e">
        <f t="shared" si="42"/>
        <v>#DIV/0!</v>
      </c>
      <c r="Q119" s="403" t="e">
        <f t="shared" si="43"/>
        <v>#DIV/0!</v>
      </c>
      <c r="R119" s="403" t="e">
        <f t="shared" si="44"/>
        <v>#DIV/0!</v>
      </c>
      <c r="S119" s="403" t="e">
        <f t="shared" si="45"/>
        <v>#DIV/0!</v>
      </c>
      <c r="T119" s="403" t="e">
        <f t="shared" si="46"/>
        <v>#DIV/0!</v>
      </c>
      <c r="U119" s="403" t="e">
        <f t="shared" si="47"/>
        <v>#DIV/0!</v>
      </c>
      <c r="V119" s="403" t="e">
        <f t="shared" si="48"/>
        <v>#DIV/0!</v>
      </c>
      <c r="W119" s="403" t="e">
        <f t="shared" si="49"/>
        <v>#DIV/0!</v>
      </c>
      <c r="X119" s="403" t="e">
        <f t="shared" si="50"/>
        <v>#DIV/0!</v>
      </c>
      <c r="Y119" s="403" t="e">
        <f t="shared" si="51"/>
        <v>#DIV/0!</v>
      </c>
      <c r="Z119" s="403" t="e">
        <f t="shared" si="52"/>
        <v>#DIV/0!</v>
      </c>
    </row>
    <row r="120" spans="2:26" x14ac:dyDescent="0.25">
      <c r="B120" s="402" t="e">
        <f>IRR(F120:Z120,'5'!$I$26/100)</f>
        <v>#VALUE!</v>
      </c>
      <c r="C120" s="484">
        <f t="shared" si="32"/>
        <v>0</v>
      </c>
      <c r="D120" s="402">
        <v>0.99</v>
      </c>
      <c r="E120" s="353">
        <f t="shared" si="54"/>
        <v>0</v>
      </c>
      <c r="F120" s="353">
        <f t="shared" si="53"/>
        <v>0</v>
      </c>
      <c r="G120" s="403" t="e">
        <f t="shared" si="33"/>
        <v>#DIV/0!</v>
      </c>
      <c r="H120" s="403" t="e">
        <f t="shared" si="34"/>
        <v>#DIV/0!</v>
      </c>
      <c r="I120" s="403" t="e">
        <f t="shared" si="35"/>
        <v>#DIV/0!</v>
      </c>
      <c r="J120" s="403" t="e">
        <f t="shared" si="36"/>
        <v>#DIV/0!</v>
      </c>
      <c r="K120" s="403" t="e">
        <f t="shared" si="37"/>
        <v>#DIV/0!</v>
      </c>
      <c r="L120" s="403" t="e">
        <f t="shared" si="38"/>
        <v>#DIV/0!</v>
      </c>
      <c r="M120" s="403" t="e">
        <f t="shared" si="39"/>
        <v>#DIV/0!</v>
      </c>
      <c r="N120" s="403" t="e">
        <f t="shared" si="40"/>
        <v>#DIV/0!</v>
      </c>
      <c r="O120" s="403" t="e">
        <f t="shared" si="41"/>
        <v>#DIV/0!</v>
      </c>
      <c r="P120" s="403" t="e">
        <f t="shared" si="42"/>
        <v>#DIV/0!</v>
      </c>
      <c r="Q120" s="403" t="e">
        <f t="shared" si="43"/>
        <v>#DIV/0!</v>
      </c>
      <c r="R120" s="403" t="e">
        <f t="shared" si="44"/>
        <v>#DIV/0!</v>
      </c>
      <c r="S120" s="403" t="e">
        <f t="shared" si="45"/>
        <v>#DIV/0!</v>
      </c>
      <c r="T120" s="403" t="e">
        <f t="shared" si="46"/>
        <v>#DIV/0!</v>
      </c>
      <c r="U120" s="403" t="e">
        <f t="shared" si="47"/>
        <v>#DIV/0!</v>
      </c>
      <c r="V120" s="403" t="e">
        <f t="shared" si="48"/>
        <v>#DIV/0!</v>
      </c>
      <c r="W120" s="403" t="e">
        <f t="shared" si="49"/>
        <v>#DIV/0!</v>
      </c>
      <c r="X120" s="403" t="e">
        <f t="shared" si="50"/>
        <v>#DIV/0!</v>
      </c>
      <c r="Y120" s="403" t="e">
        <f t="shared" si="51"/>
        <v>#DIV/0!</v>
      </c>
      <c r="Z120" s="403" t="e">
        <f t="shared" si="52"/>
        <v>#DIV/0!</v>
      </c>
    </row>
    <row r="121" spans="2:26" x14ac:dyDescent="0.25">
      <c r="B121" s="402" t="e">
        <f>IRR(F121:Z121,'5'!$I$26/100)</f>
        <v>#VALUE!</v>
      </c>
      <c r="C121" s="436"/>
      <c r="D121" s="402">
        <v>1</v>
      </c>
      <c r="E121" s="353">
        <f t="shared" si="54"/>
        <v>0</v>
      </c>
      <c r="F121" s="353">
        <f t="shared" si="53"/>
        <v>0</v>
      </c>
      <c r="G121" s="403" t="e">
        <f t="shared" si="33"/>
        <v>#DIV/0!</v>
      </c>
      <c r="H121" s="403" t="e">
        <f t="shared" si="34"/>
        <v>#DIV/0!</v>
      </c>
      <c r="I121" s="403" t="e">
        <f t="shared" si="35"/>
        <v>#DIV/0!</v>
      </c>
      <c r="J121" s="403" t="e">
        <f t="shared" si="36"/>
        <v>#DIV/0!</v>
      </c>
      <c r="K121" s="403" t="e">
        <f t="shared" si="37"/>
        <v>#DIV/0!</v>
      </c>
      <c r="L121" s="403" t="e">
        <f t="shared" si="38"/>
        <v>#DIV/0!</v>
      </c>
      <c r="M121" s="403" t="e">
        <f t="shared" si="39"/>
        <v>#DIV/0!</v>
      </c>
      <c r="N121" s="403" t="e">
        <f t="shared" si="40"/>
        <v>#DIV/0!</v>
      </c>
      <c r="O121" s="403" t="e">
        <f t="shared" si="41"/>
        <v>#DIV/0!</v>
      </c>
      <c r="P121" s="403" t="e">
        <f t="shared" si="42"/>
        <v>#DIV/0!</v>
      </c>
      <c r="Q121" s="403" t="e">
        <f t="shared" si="43"/>
        <v>#DIV/0!</v>
      </c>
      <c r="R121" s="403" t="e">
        <f t="shared" si="44"/>
        <v>#DIV/0!</v>
      </c>
      <c r="S121" s="403" t="e">
        <f t="shared" si="45"/>
        <v>#DIV/0!</v>
      </c>
      <c r="T121" s="403" t="e">
        <f t="shared" si="46"/>
        <v>#DIV/0!</v>
      </c>
      <c r="U121" s="403" t="e">
        <f t="shared" si="47"/>
        <v>#DIV/0!</v>
      </c>
      <c r="V121" s="403" t="e">
        <f t="shared" si="48"/>
        <v>#DIV/0!</v>
      </c>
      <c r="W121" s="403" t="e">
        <f t="shared" si="49"/>
        <v>#DIV/0!</v>
      </c>
      <c r="X121" s="403" t="e">
        <f t="shared" si="50"/>
        <v>#DIV/0!</v>
      </c>
      <c r="Y121" s="403" t="e">
        <f t="shared" si="51"/>
        <v>#DIV/0!</v>
      </c>
      <c r="Z121" s="403" t="e">
        <f t="shared" si="52"/>
        <v>#DIV/0!</v>
      </c>
    </row>
  </sheetData>
  <sheetProtection password="CC7F" sheet="1" objects="1" scenarios="1" selectLockedCells="1"/>
  <mergeCells count="10">
    <mergeCell ref="B4:F4"/>
    <mergeCell ref="G20:Z20"/>
    <mergeCell ref="B7:F7"/>
    <mergeCell ref="B8:F8"/>
    <mergeCell ref="B10:F10"/>
    <mergeCell ref="B11:F11"/>
    <mergeCell ref="B13:F13"/>
    <mergeCell ref="B14:F14"/>
    <mergeCell ref="B15:F15"/>
    <mergeCell ref="B17:F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7</vt:i4>
      </vt:variant>
    </vt:vector>
  </HeadingPairs>
  <TitlesOfParts>
    <vt:vector size="21" baseType="lpstr">
      <vt:lpstr>1</vt:lpstr>
      <vt:lpstr>2</vt:lpstr>
      <vt:lpstr>3</vt:lpstr>
      <vt:lpstr>4</vt:lpstr>
      <vt:lpstr>5</vt:lpstr>
      <vt:lpstr>6 PEF</vt:lpstr>
      <vt:lpstr>7</vt:lpstr>
      <vt:lpstr>Translation</vt:lpstr>
      <vt:lpstr>F+T Translation</vt:lpstr>
      <vt:lpstr>Parameters</vt:lpstr>
      <vt:lpstr>T-Calc option A</vt:lpstr>
      <vt:lpstr>F-Calc Mortgage loan</vt:lpstr>
      <vt:lpstr>F-Calc Cash flow</vt:lpstr>
      <vt:lpstr>F-Calc Subsidy</vt:lpstr>
      <vt:lpstr>'1'!Area_stampa</vt:lpstr>
      <vt:lpstr>'2'!Area_stampa</vt:lpstr>
      <vt:lpstr>'3'!Area_stampa</vt:lpstr>
      <vt:lpstr>'4'!Area_stampa</vt:lpstr>
      <vt:lpstr>'5'!Area_stampa</vt:lpstr>
      <vt:lpstr>'6 PEF'!Area_stampa</vt:lpstr>
      <vt:lpstr>'7'!Area_stampa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fabio.dandri</dc:creator>
  <cp:lastModifiedBy>fabio.dandri</cp:lastModifiedBy>
  <cp:lastPrinted>2018-03-19T08:33:34Z</cp:lastPrinted>
  <dcterms:created xsi:type="dcterms:W3CDTF">2017-07-03T14:02:55Z</dcterms:created>
  <dcterms:modified xsi:type="dcterms:W3CDTF">2018-05-14T07:45:30Z</dcterms:modified>
</cp:coreProperties>
</file>